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8 СОЗЫВ\24 сессия 05.06.2019\решения сессия 05.06.2019\решения две подписи\28-24-470 исполнение бюджета 2018\"/>
    </mc:Choice>
  </mc:AlternateContent>
  <xr:revisionPtr revIDLastSave="0" documentId="13_ncr:1_{13D9239E-BC9B-4DFA-8208-A2D0286DB530}" xr6:coauthVersionLast="43" xr6:coauthVersionMax="43" xr10:uidLastSave="{00000000-0000-0000-0000-000000000000}"/>
  <bookViews>
    <workbookView xWindow="2505" yWindow="4005" windowWidth="14400" windowHeight="10755" firstSheet="1" activeTab="1" xr2:uid="{00000000-000D-0000-FFFF-FFFF00000000}"/>
  </bookViews>
  <sheets>
    <sheet name="форма для кжкх и кумииз" sheetId="1" state="hidden" r:id="rId1"/>
    <sheet name="на 01.01.2019" sheetId="36" r:id="rId2"/>
    <sheet name="Лист1" sheetId="37" r:id="rId3"/>
  </sheets>
  <definedNames>
    <definedName name="_xlnm.Print_Titles" localSheetId="1">'на 01.01.2019'!$10:$11</definedName>
    <definedName name="_xlnm.Print_Titles" localSheetId="0">'форма для кжкх и кумииз'!$13:$16</definedName>
    <definedName name="_xlnm.Print_Area" localSheetId="1">'на 01.01.2019'!$A$1:$L$74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0" i="36" l="1"/>
  <c r="L63" i="36" l="1"/>
  <c r="L62" i="36" s="1"/>
  <c r="L56" i="36"/>
  <c r="L55" i="36" s="1"/>
  <c r="L45" i="36"/>
  <c r="L44" i="36" s="1"/>
  <c r="L13" i="36"/>
  <c r="L12" i="36" s="1"/>
  <c r="L69" i="36" l="1"/>
  <c r="G15" i="36"/>
  <c r="F17" i="36"/>
  <c r="F15" i="36" s="1"/>
  <c r="H17" i="36"/>
  <c r="H15" i="36" s="1"/>
  <c r="G18" i="36"/>
  <c r="J18" i="36" s="1"/>
  <c r="H20" i="36"/>
  <c r="I20" i="36"/>
  <c r="L20" i="36" s="1"/>
  <c r="F21" i="36"/>
  <c r="F18" i="36" s="1"/>
  <c r="I18" i="36" s="1"/>
  <c r="G22" i="36"/>
  <c r="J22" i="36" s="1"/>
  <c r="H24" i="36"/>
  <c r="I24" i="36"/>
  <c r="L24" i="36" s="1"/>
  <c r="F25" i="36"/>
  <c r="H25" i="36" s="1"/>
  <c r="G26" i="36"/>
  <c r="J26" i="36" s="1"/>
  <c r="H28" i="36"/>
  <c r="H26" i="36" s="1"/>
  <c r="I28" i="36"/>
  <c r="L28" i="36" s="1"/>
  <c r="F29" i="36"/>
  <c r="F26" i="36" s="1"/>
  <c r="I26" i="36" s="1"/>
  <c r="H29" i="36"/>
  <c r="I29" i="36"/>
  <c r="L29" i="36" s="1"/>
  <c r="G30" i="36"/>
  <c r="J30" i="36" s="1"/>
  <c r="H32" i="36"/>
  <c r="I32" i="36"/>
  <c r="L32" i="36" s="1"/>
  <c r="F33" i="36"/>
  <c r="F30" i="36" s="1"/>
  <c r="I30" i="36" s="1"/>
  <c r="H33" i="36"/>
  <c r="G34" i="36"/>
  <c r="J34" i="36" s="1"/>
  <c r="H36" i="36"/>
  <c r="I36" i="36"/>
  <c r="L36" i="36" s="1"/>
  <c r="F37" i="36"/>
  <c r="F34" i="36" s="1"/>
  <c r="I34" i="36" s="1"/>
  <c r="H37" i="36"/>
  <c r="G38" i="36"/>
  <c r="J38" i="36" s="1"/>
  <c r="F40" i="36"/>
  <c r="F38" i="36" s="1"/>
  <c r="I38" i="36" s="1"/>
  <c r="F41" i="36"/>
  <c r="H41" i="36"/>
  <c r="I41" i="36"/>
  <c r="L41" i="36" s="1"/>
  <c r="F43" i="36"/>
  <c r="G43" i="36"/>
  <c r="F47" i="36"/>
  <c r="G47" i="36"/>
  <c r="G45" i="36" s="1"/>
  <c r="H49" i="36"/>
  <c r="H47" i="36" s="1"/>
  <c r="H45" i="36" s="1"/>
  <c r="I49" i="36"/>
  <c r="L49" i="36" s="1"/>
  <c r="F54" i="36"/>
  <c r="G54" i="36"/>
  <c r="G52" i="36" s="1"/>
  <c r="G50" i="36" s="1"/>
  <c r="F60" i="36"/>
  <c r="I60" i="36" s="1"/>
  <c r="L60" i="36" s="1"/>
  <c r="G60" i="36"/>
  <c r="G58" i="36" s="1"/>
  <c r="H60" i="36"/>
  <c r="H58" i="36" s="1"/>
  <c r="G61" i="36"/>
  <c r="F65" i="36"/>
  <c r="I65" i="36" s="1"/>
  <c r="I63" i="36" s="1"/>
  <c r="I62" i="36" s="1"/>
  <c r="G67" i="36"/>
  <c r="H67" i="36" s="1"/>
  <c r="I67" i="36"/>
  <c r="L67" i="36" s="1"/>
  <c r="G68" i="36"/>
  <c r="G65" i="36" s="1"/>
  <c r="G63" i="36" s="1"/>
  <c r="G62" i="36" s="1"/>
  <c r="I68" i="36"/>
  <c r="L68" i="36" s="1"/>
  <c r="H34" i="36" l="1"/>
  <c r="H40" i="36"/>
  <c r="H38" i="36" s="1"/>
  <c r="I33" i="36"/>
  <c r="L33" i="36" s="1"/>
  <c r="H30" i="36"/>
  <c r="I17" i="36"/>
  <c r="L17" i="36" s="1"/>
  <c r="G13" i="36"/>
  <c r="G12" i="36" s="1"/>
  <c r="G69" i="36" s="1"/>
  <c r="J15" i="36"/>
  <c r="H54" i="36"/>
  <c r="H52" i="36" s="1"/>
  <c r="H50" i="36" s="1"/>
  <c r="H44" i="36" s="1"/>
  <c r="G56" i="36"/>
  <c r="G55" i="36" s="1"/>
  <c r="H68" i="36"/>
  <c r="H65" i="36" s="1"/>
  <c r="H63" i="36" s="1"/>
  <c r="H62" i="36" s="1"/>
  <c r="H43" i="36"/>
  <c r="H61" i="36" s="1"/>
  <c r="H56" i="36" s="1"/>
  <c r="H55" i="36" s="1"/>
  <c r="I40" i="36"/>
  <c r="L40" i="36" s="1"/>
  <c r="H22" i="36"/>
  <c r="H21" i="36"/>
  <c r="H18" i="36" s="1"/>
  <c r="G71" i="36"/>
  <c r="G44" i="36"/>
  <c r="H71" i="36"/>
  <c r="I15" i="36"/>
  <c r="F52" i="36"/>
  <c r="I52" i="36" s="1"/>
  <c r="I50" i="36" s="1"/>
  <c r="I54" i="36"/>
  <c r="L54" i="36" s="1"/>
  <c r="I43" i="36"/>
  <c r="L43" i="36" s="1"/>
  <c r="G72" i="36"/>
  <c r="F71" i="36"/>
  <c r="F69" i="36" s="1"/>
  <c r="F61" i="36"/>
  <c r="I61" i="36" s="1"/>
  <c r="F58" i="36"/>
  <c r="I58" i="36" s="1"/>
  <c r="I47" i="36"/>
  <c r="I45" i="36" s="1"/>
  <c r="I25" i="36"/>
  <c r="L25" i="36" s="1"/>
  <c r="F22" i="36"/>
  <c r="I22" i="36" s="1"/>
  <c r="F72" i="36"/>
  <c r="I37" i="36"/>
  <c r="L37" i="36" s="1"/>
  <c r="I21" i="36"/>
  <c r="L21" i="36" s="1"/>
  <c r="I44" i="36" l="1"/>
  <c r="H12" i="36"/>
  <c r="F46" i="36"/>
  <c r="H72" i="36"/>
  <c r="H13" i="36"/>
  <c r="F12" i="36"/>
  <c r="I12" i="36" s="1"/>
  <c r="H69" i="36"/>
  <c r="I13" i="36"/>
  <c r="I56" i="36"/>
  <c r="I55" i="36" s="1"/>
  <c r="I69" i="36" l="1"/>
  <c r="J17" i="36"/>
  <c r="K71" i="36" l="1"/>
  <c r="K72" i="36"/>
  <c r="J20" i="36"/>
  <c r="J21" i="36"/>
  <c r="J24" i="36"/>
  <c r="J25" i="36"/>
  <c r="J28" i="36"/>
  <c r="J29" i="36"/>
  <c r="J32" i="36"/>
  <c r="J33" i="36"/>
  <c r="J36" i="36"/>
  <c r="J37" i="36"/>
  <c r="J40" i="36"/>
  <c r="J41" i="36"/>
  <c r="J49" i="36"/>
  <c r="J68" i="36"/>
  <c r="J54" i="36"/>
  <c r="J47" i="36"/>
  <c r="J45" i="36" s="1"/>
  <c r="J61" i="36"/>
  <c r="J58" i="36"/>
  <c r="J56" i="36" s="1"/>
  <c r="J55" i="36" s="1"/>
  <c r="J13" i="36" l="1"/>
  <c r="J12" i="36" s="1"/>
  <c r="J44" i="36"/>
  <c r="K36" i="36"/>
  <c r="K49" i="36"/>
  <c r="K47" i="36" s="1"/>
  <c r="K28" i="36"/>
  <c r="K68" i="36"/>
  <c r="K41" i="36"/>
  <c r="K25" i="36"/>
  <c r="J52" i="36"/>
  <c r="J50" i="36" s="1"/>
  <c r="K33" i="36"/>
  <c r="K32" i="36"/>
  <c r="J43" i="36"/>
  <c r="K43" i="36" s="1"/>
  <c r="K61" i="36" s="1"/>
  <c r="K54" i="36"/>
  <c r="K52" i="36" s="1"/>
  <c r="K50" i="36" s="1"/>
  <c r="K40" i="36"/>
  <c r="K24" i="36"/>
  <c r="J67" i="36"/>
  <c r="K67" i="36" s="1"/>
  <c r="J60" i="36"/>
  <c r="K60" i="36" s="1"/>
  <c r="K58" i="36" s="1"/>
  <c r="K17" i="36"/>
  <c r="K15" i="36" s="1"/>
  <c r="K29" i="36"/>
  <c r="K20" i="36"/>
  <c r="K21" i="36"/>
  <c r="K37" i="36"/>
  <c r="K34" i="36" l="1"/>
  <c r="K26" i="36"/>
  <c r="K38" i="36"/>
  <c r="K30" i="36"/>
  <c r="K22" i="36"/>
  <c r="K18" i="36"/>
  <c r="J65" i="36"/>
  <c r="J63" i="36" s="1"/>
  <c r="J62" i="36" s="1"/>
  <c r="J69" i="36" s="1"/>
  <c r="K65" i="36"/>
  <c r="K46" i="36" s="1"/>
  <c r="K12" i="36" l="1"/>
  <c r="K69" i="36" s="1"/>
  <c r="M104" i="1" l="1"/>
  <c r="N104" i="1"/>
  <c r="O104" i="1"/>
  <c r="P104" i="1"/>
  <c r="M103" i="1"/>
  <c r="N103" i="1"/>
  <c r="O103" i="1"/>
  <c r="P103" i="1"/>
  <c r="L104" i="1"/>
  <c r="L103" i="1"/>
  <c r="L41" i="1"/>
  <c r="L46" i="1"/>
  <c r="L50" i="1"/>
  <c r="M101" i="1"/>
  <c r="N101" i="1"/>
  <c r="L74" i="1"/>
  <c r="L69" i="1"/>
  <c r="L65" i="1"/>
  <c r="L54" i="1"/>
  <c r="L58" i="1"/>
  <c r="L61" i="1"/>
  <c r="L101" i="1" l="1"/>
  <c r="E50" i="1"/>
  <c r="E25" i="1"/>
  <c r="K103" i="1" l="1"/>
  <c r="K31" i="1"/>
  <c r="J31" i="1"/>
  <c r="K34" i="1"/>
  <c r="J34" i="1"/>
  <c r="K58" i="1"/>
  <c r="J58" i="1"/>
  <c r="K104" i="1"/>
  <c r="K98" i="1"/>
  <c r="K91" i="1"/>
  <c r="K94" i="1"/>
  <c r="O88" i="1"/>
  <c r="N88" i="1"/>
  <c r="K88" i="1"/>
  <c r="K82" i="1"/>
  <c r="K77" i="1"/>
  <c r="K69" i="1"/>
  <c r="K65" i="1"/>
  <c r="K61" i="1"/>
  <c r="K54" i="1"/>
  <c r="K50" i="1"/>
  <c r="K46" i="1"/>
  <c r="K41" i="1"/>
  <c r="K37" i="1"/>
  <c r="K28" i="1"/>
  <c r="K25" i="1"/>
  <c r="N22" i="1"/>
  <c r="K22" i="1"/>
  <c r="K18" i="1"/>
  <c r="O101" i="1" l="1"/>
  <c r="K101" i="1"/>
  <c r="O22" i="1"/>
  <c r="P101" i="1"/>
  <c r="J91" i="1"/>
  <c r="E88" i="1"/>
  <c r="D88" i="1"/>
  <c r="J100" i="1"/>
  <c r="E46" i="1"/>
  <c r="J82" i="1"/>
  <c r="J44" i="1"/>
  <c r="J37" i="1"/>
  <c r="M88" i="1"/>
  <c r="P88" i="1"/>
  <c r="J94" i="1"/>
  <c r="J88" i="1"/>
  <c r="J77" i="1"/>
  <c r="J65" i="1"/>
  <c r="J69" i="1"/>
  <c r="J63" i="1"/>
  <c r="J54" i="1"/>
  <c r="J50" i="1"/>
  <c r="J46" i="1"/>
  <c r="M22" i="1"/>
  <c r="J18" i="1"/>
  <c r="J22" i="1"/>
  <c r="J25" i="1"/>
  <c r="J28" i="1"/>
  <c r="J103" i="1" l="1"/>
  <c r="J98" i="1"/>
  <c r="J61" i="1"/>
  <c r="J104" i="1"/>
  <c r="J41" i="1"/>
  <c r="J101" i="1" l="1"/>
</calcChain>
</file>

<file path=xl/sharedStrings.xml><?xml version="1.0" encoding="utf-8"?>
<sst xmlns="http://schemas.openxmlformats.org/spreadsheetml/2006/main" count="469" uniqueCount="176">
  <si>
    <t>тыс.руб.</t>
  </si>
  <si>
    <t xml:space="preserve">раздел </t>
  </si>
  <si>
    <t>подоаздел</t>
  </si>
  <si>
    <t xml:space="preserve">целевая статья </t>
  </si>
  <si>
    <t>вид расхода</t>
  </si>
  <si>
    <t>Примечание</t>
  </si>
  <si>
    <t xml:space="preserve"> Адресная  инвестиционная программа Петрозаводского городского округа на 2013-2015 годы</t>
  </si>
  <si>
    <t>Годы строительства</t>
  </si>
  <si>
    <t>Стоимость завершения работ в текущих ценах</t>
  </si>
  <si>
    <t>Реконструкция улицы Достоевского на участке от ул.Зайцева до пр.Октябрьского</t>
  </si>
  <si>
    <t>Строительство проезда к пожарному депо по ул.Попова (в т.ч. разработка проектной документации)</t>
  </si>
  <si>
    <t>Строительство путепровода через железнодорожные пути в створе ул. Гоголя (в т.ч. ПИР)</t>
  </si>
  <si>
    <t>Внутреннее газоснабжение (перевод на природный газ) многоквартирных домов, расположенных на территории Петрозаводского городского округа</t>
  </si>
  <si>
    <t xml:space="preserve">Строительство участка сетей водоснабжения с установкой водозаборной колонки и пожарного гидранта в жилом районе Птицефабрика </t>
  </si>
  <si>
    <t>Строительство трансформаторной подстанции с воздушной линией электропередач для электроснабжения канализационной насосной станции в районе Сулажгорского кирпичного завода</t>
  </si>
  <si>
    <t xml:space="preserve">Строительство и реконструкция водопроводных очистных сооружений г.Петрозаводск (II этап)                                            </t>
  </si>
  <si>
    <t>Строительство газопровода распределительного (уличная сеть) в жилом районе "Соломенное" в г. Петрозаводске (в т.ч. разработка проектной и рабочей документации)</t>
  </si>
  <si>
    <t>Строительство военно-мемориального комплекса Карельского фронта в г.Петрозаводске, с реконструкцией монумента "Воинам, партизанам и подпольщикам Карелии" ("Аллея Памяти и Славы")</t>
  </si>
  <si>
    <t>Строительство спортивной площадки МОУ "Средняя школа №42"</t>
  </si>
  <si>
    <t xml:space="preserve">Строительство физкультурно-оздоровительного комплекса с бассейном по ул.Хейкконена </t>
  </si>
  <si>
    <t xml:space="preserve">Строительство спортивного комплекса в пойме реки Неглинки в районе зданий №12 по ул.Крупской и №8 по ул.Красной </t>
  </si>
  <si>
    <t xml:space="preserve">Реконструкция магистрали общегородского значения "Кукковка-Древлянка" </t>
  </si>
  <si>
    <t xml:space="preserve">за счет средств межбюджетных трансфертов из бюджета Республики Карелия </t>
  </si>
  <si>
    <t>в том числе</t>
  </si>
  <si>
    <t>Строительство здания детского сада по ул.Попова (в т.ч.ПИР)</t>
  </si>
  <si>
    <t>Строительство здания детского сада по Ключевскому шоссе в районе пересечения с ул.Репникова (в т.ч. ПИР)</t>
  </si>
  <si>
    <t>Сметная стоимость  в ценах утверждения проекта</t>
  </si>
  <si>
    <t>Строительство многоквартирных домов  для переселения граждан из аварийного жилищного фонда</t>
  </si>
  <si>
    <t xml:space="preserve">Строительство здания детского сада по ул.Зеленой в районе пер. Гончарова  </t>
  </si>
  <si>
    <t>Всего</t>
  </si>
  <si>
    <t>Приложение №  6</t>
  </si>
  <si>
    <t>УТВЕРЖДЕНО</t>
  </si>
  <si>
    <t>постановлением Администрации</t>
  </si>
  <si>
    <t>Петрозаводского городского округа</t>
  </si>
  <si>
    <t xml:space="preserve"> от___________________№__________</t>
  </si>
  <si>
    <t>04</t>
  </si>
  <si>
    <t>09</t>
  </si>
  <si>
    <t>7950017</t>
  </si>
  <si>
    <t>935</t>
  </si>
  <si>
    <t>950</t>
  </si>
  <si>
    <t>953</t>
  </si>
  <si>
    <t>05</t>
  </si>
  <si>
    <t>01</t>
  </si>
  <si>
    <t>932</t>
  </si>
  <si>
    <t>0980102/0980202</t>
  </si>
  <si>
    <t>02</t>
  </si>
  <si>
    <t>1020102</t>
  </si>
  <si>
    <t>922</t>
  </si>
  <si>
    <t xml:space="preserve"> 05</t>
  </si>
  <si>
    <t xml:space="preserve"> 02</t>
  </si>
  <si>
    <t xml:space="preserve"> 1020102</t>
  </si>
  <si>
    <t xml:space="preserve"> 951</t>
  </si>
  <si>
    <t xml:space="preserve"> 947</t>
  </si>
  <si>
    <t>2012-2013</t>
  </si>
  <si>
    <t>07</t>
  </si>
  <si>
    <t>941</t>
  </si>
  <si>
    <t>2011-2013</t>
  </si>
  <si>
    <t>2013-2014</t>
  </si>
  <si>
    <t>2013-2015</t>
  </si>
  <si>
    <t>2009-2013</t>
  </si>
  <si>
    <t>915</t>
  </si>
  <si>
    <t>0034000</t>
  </si>
  <si>
    <t>930</t>
  </si>
  <si>
    <t>948</t>
  </si>
  <si>
    <t>03</t>
  </si>
  <si>
    <t>937</t>
  </si>
  <si>
    <t>919</t>
  </si>
  <si>
    <t>11</t>
  </si>
  <si>
    <t>918</t>
  </si>
  <si>
    <t>939</t>
  </si>
  <si>
    <t>Сумма, в том числе по годам</t>
  </si>
  <si>
    <t>Наименование объекта (структурного подразделения  Администрации Петрозаводского городского округа, на которое возложено исполнение обязанностей по осуществлению соответствующих функций главного распорядителя)</t>
  </si>
  <si>
    <t>Комитет экономики и управления муниципальным имуществом Администрации Петрозаводского городского округа</t>
  </si>
  <si>
    <t>в том числе за счет средств</t>
  </si>
  <si>
    <t xml:space="preserve">бюджета Петрозаводского городского округа </t>
  </si>
  <si>
    <t xml:space="preserve">межбюджетных трансфертов из бюджета Республики Карелия </t>
  </si>
  <si>
    <t>0980202</t>
  </si>
  <si>
    <t>9980000</t>
  </si>
  <si>
    <t>1005802</t>
  </si>
  <si>
    <t>Комитет жилищно-коммунального хозяйства Администрации Петрозаводского городского округа</t>
  </si>
  <si>
    <t>Комиет социального развития Администрации Петрозаводского городского округа</t>
  </si>
  <si>
    <t>2012-2014</t>
  </si>
  <si>
    <t>Остаток сметной стоимости в ценах утверждения проекта</t>
  </si>
  <si>
    <t>в ценах 2000 г. 88,54</t>
  </si>
  <si>
    <t>в ценах 2000 г. - 12657,12; в ценах  2011г. - 46861,01</t>
  </si>
  <si>
    <t>в ценах 2000 г. - 105055,13; в ценах 2010г. - 537269,41</t>
  </si>
  <si>
    <t>в ценах 2000 г. - 7285,33; в ценах 2011г. - 30585,96</t>
  </si>
  <si>
    <t>2011г.-20745,28</t>
  </si>
  <si>
    <t>в ценах 2000 г. - 15670,70; в ценах 2010г. - 72363,10</t>
  </si>
  <si>
    <t>в ценах 2000 г. - 4699,82; в ценах 2008г. - 26728,72</t>
  </si>
  <si>
    <t xml:space="preserve"> </t>
  </si>
  <si>
    <t>5220400</t>
  </si>
  <si>
    <t>План</t>
  </si>
  <si>
    <t>Изменения</t>
  </si>
  <si>
    <t>Строительство ул.Куйбышева от наб.Варкауса с реконструкцией существующего участка от пр.Ленина (в т.ч. разработка проектной документации)</t>
  </si>
  <si>
    <t>Строительство рыбохода в районе нижней плотины реки Лососинки (в т.ч. ПИР)</t>
  </si>
  <si>
    <t>Строительство участка наб.Варкауса от ул.Мелентьевой до ул.Зайцева (в т.ч. разработка проектной документации)</t>
  </si>
  <si>
    <t>06</t>
  </si>
  <si>
    <t>956</t>
  </si>
  <si>
    <t>2013 год</t>
  </si>
  <si>
    <t>2014 год</t>
  </si>
  <si>
    <t>2015 год</t>
  </si>
  <si>
    <t xml:space="preserve">74 090,95                   (в ценах 2001 года)                                                                              </t>
  </si>
  <si>
    <t>x</t>
  </si>
  <si>
    <t>50 119,12                         (в ценах 2011 года)</t>
  </si>
  <si>
    <t>21 354,28                      (в ценах 2011 года)</t>
  </si>
  <si>
    <t xml:space="preserve">23 742,46                          (в ценах 2001 года)   </t>
  </si>
  <si>
    <t>155 588,5                      (в ценах 2010 года)</t>
  </si>
  <si>
    <t>349 917,6                         (в ценах 2008 года)</t>
  </si>
  <si>
    <t>21 342,3                          (в ценах 2012 года)</t>
  </si>
  <si>
    <t>1 560,6                     (в ценах 2012 года)</t>
  </si>
  <si>
    <t>20 003,4                     (в ценах 2012 года)</t>
  </si>
  <si>
    <t xml:space="preserve">Заместитель главы Администрации Петрозаводского городского округа  - </t>
  </si>
  <si>
    <t>председатель комитета жилищно-коммунального хозяйства</t>
  </si>
  <si>
    <t>председатель комитета социального развития</t>
  </si>
  <si>
    <t xml:space="preserve">председатель комитета экономики и управления муниципальным имуществом </t>
  </si>
  <si>
    <t>2008-2013</t>
  </si>
  <si>
    <t xml:space="preserve">304 160,58                   (в ценах 2010 года)                      </t>
  </si>
  <si>
    <t>52 437,45                     (в ценах 2011 года)</t>
  </si>
  <si>
    <t>487,9                       (в ценах 2013 года)</t>
  </si>
  <si>
    <t>4870100</t>
  </si>
  <si>
    <t>Д.В. Баженов</t>
  </si>
  <si>
    <t>Р.Е. Ермоленко</t>
  </si>
  <si>
    <t>Е.А. Сухорукова</t>
  </si>
  <si>
    <t>157 174,73                  (в ценах 2013 года)</t>
  </si>
  <si>
    <t>4 306,13                                (в ценах 2013 года)</t>
  </si>
  <si>
    <t>Строительство разгрузочного коллектора по ул.Фурманова от КНС-4 до ул.Чапаева. Реконструкция                                 КНС-4</t>
  </si>
  <si>
    <t>Реконструкция здания с благоустройством территории для размещения дошкольного образовательного учреждения по адресу: г.Петрозаводск, ул.Волховская, 10 (в т.ч. разработка проектной документации).</t>
  </si>
  <si>
    <t xml:space="preserve"> за счет привлечения бюджетного кредита из бюджета РК</t>
  </si>
  <si>
    <t>5300600</t>
  </si>
  <si>
    <t>955</t>
  </si>
  <si>
    <t>х</t>
  </si>
  <si>
    <t>400</t>
  </si>
  <si>
    <t>Приобретение жилых помещений в целях исполнения судебных решений о предоставлении гражданам жилых помещений, вынесенных в отношении Администрации Петрозаводского городского округа</t>
  </si>
  <si>
    <t>10</t>
  </si>
  <si>
    <t xml:space="preserve">межбюджетных трансфертов из бюджета Республики Карелия  </t>
  </si>
  <si>
    <t>группа вида расхода</t>
  </si>
  <si>
    <t xml:space="preserve">Приобретение жилых помещений в целях обеспечения детей-сирот и детей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 </t>
  </si>
  <si>
    <t>Строительство наплавного моста в жилом районе «Соломенное» в г.Петрозаводске (в том числе ПИР)</t>
  </si>
  <si>
    <t>Реконструкция мостового сооружения через р. Неглинка по ул.Кирова в г.Петрозаводске</t>
  </si>
  <si>
    <t xml:space="preserve">Реконструкция ул. Хейкконена в г.Петрозаводске </t>
  </si>
  <si>
    <t xml:space="preserve">Строительство автомобильной дороги проезд Тидена (от Вытегорского шоссе до продления пр. Комсомольского) в г.Петрозаводске </t>
  </si>
  <si>
    <t xml:space="preserve">Строительство (продление) пр. Комсомольского до II транспортного полукольца в г.Петрозаводске </t>
  </si>
  <si>
    <t xml:space="preserve">Реконструкция ул. Достоевского от ул. Зайцева до ул. Боровой с устройством тоннеля под железнодорожными путями по ул. Халтурина в г.Петрозаводске </t>
  </si>
  <si>
    <t xml:space="preserve">Утвержденные бюджетные назначения </t>
  </si>
  <si>
    <t xml:space="preserve">Неиспользованные назначения </t>
  </si>
  <si>
    <t xml:space="preserve"> от___________________№____________</t>
  </si>
  <si>
    <t>Приобретение здания дошкольной образовательной организации на 150 мест, расположенного по адресу: Российская Федерация, Республика Карелия, Петрозаводский городской округ, город Петрозаводск, микрорайон «Древлянка-5»</t>
  </si>
  <si>
    <t>Приобретение здания дошкольной образовательной организации на 300 мест, расположенного по адресу: Российская Федерация, Республика Карелия, Петрозаводский городской округ, город Петрозаводск, микрорайон «Древлянка-7»</t>
  </si>
  <si>
    <t xml:space="preserve">Расходы бюджета Петрозаводского городского округа на реализацию адресной инвестиционной программы Петрозаводского городского округа по разделам и подразделам классификации расходов бюджетов с пообъектной детализацией за 2018 год </t>
  </si>
  <si>
    <t xml:space="preserve"> Приложение № 7</t>
  </si>
  <si>
    <t>к Решению Петрозаводского городского Совета</t>
  </si>
  <si>
    <t xml:space="preserve">Раздел </t>
  </si>
  <si>
    <t>Подраздел</t>
  </si>
  <si>
    <t xml:space="preserve">Наименование </t>
  </si>
  <si>
    <t>Сумма</t>
  </si>
  <si>
    <t>№ п/п</t>
  </si>
  <si>
    <t>Национальная экономика</t>
  </si>
  <si>
    <t>1.1</t>
  </si>
  <si>
    <t>Дорожное хозяйство (дорожные фонды)</t>
  </si>
  <si>
    <t>в том числе по объектам:</t>
  </si>
  <si>
    <t>3</t>
  </si>
  <si>
    <t>3.1</t>
  </si>
  <si>
    <t>Дошкольное образование</t>
  </si>
  <si>
    <t>Образование</t>
  </si>
  <si>
    <t>2</t>
  </si>
  <si>
    <t>Жилищно-коммунальное хозяйство</t>
  </si>
  <si>
    <t>2.1</t>
  </si>
  <si>
    <t>Жилищное хозяйство</t>
  </si>
  <si>
    <t>2.2</t>
  </si>
  <si>
    <t>Коммунальное хозяйство</t>
  </si>
  <si>
    <t>Социальная политика</t>
  </si>
  <si>
    <t>Охрана семьи и детства</t>
  </si>
  <si>
    <t>ИТОГО РАСХОДОВ</t>
  </si>
  <si>
    <t xml:space="preserve">Строительство районной магистрали от ул. Попова до  ул. Университетской в                   г. Петрозаводске  </t>
  </si>
  <si>
    <t>от  5 июня 2019 г.  №  28/24-470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</si>
</sst>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_р_."/>
    <numFmt numFmtId="166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164" fontId="1" fillId="0" borderId="0" applyFont="0" applyFill="0" applyBorder="0" applyAlignment="0" applyProtection="0"/>
  </cellStyleXfs>
  <cellXfs count="28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7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65" fontId="4" fillId="0" borderId="20" xfId="2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164" fontId="5" fillId="0" borderId="2" xfId="2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28" xfId="0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5" fontId="4" fillId="0" borderId="15" xfId="2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165" fontId="4" fillId="0" borderId="9" xfId="2" applyNumberFormat="1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49" fontId="5" fillId="0" borderId="2" xfId="2" applyNumberFormat="1" applyFont="1" applyFill="1" applyBorder="1" applyAlignment="1">
      <alignment horizontal="center" vertical="center" wrapText="1"/>
    </xf>
    <xf numFmtId="165" fontId="5" fillId="0" borderId="17" xfId="2" applyNumberFormat="1" applyFont="1" applyFill="1" applyBorder="1" applyAlignment="1">
      <alignment horizontal="center" vertical="center" wrapText="1"/>
    </xf>
    <xf numFmtId="165" fontId="4" fillId="0" borderId="21" xfId="2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5" fontId="5" fillId="0" borderId="9" xfId="2" applyNumberFormat="1" applyFont="1" applyFill="1" applyBorder="1" applyAlignment="1">
      <alignment horizontal="center" vertical="center" wrapText="1"/>
    </xf>
    <xf numFmtId="165" fontId="5" fillId="0" borderId="28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5" fillId="0" borderId="3" xfId="2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5" fontId="4" fillId="0" borderId="4" xfId="2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5" fontId="5" fillId="0" borderId="45" xfId="0" applyNumberFormat="1" applyFont="1" applyFill="1" applyBorder="1" applyAlignment="1">
      <alignment horizontal="center" vertical="center" wrapText="1"/>
    </xf>
    <xf numFmtId="165" fontId="4" fillId="0" borderId="46" xfId="0" applyNumberFormat="1" applyFont="1" applyFill="1" applyBorder="1" applyAlignment="1">
      <alignment horizontal="center" vertical="center" wrapText="1"/>
    </xf>
    <xf numFmtId="165" fontId="4" fillId="0" borderId="47" xfId="0" applyNumberFormat="1" applyFont="1" applyFill="1" applyBorder="1" applyAlignment="1">
      <alignment horizontal="center" vertical="center" wrapText="1"/>
    </xf>
    <xf numFmtId="165" fontId="4" fillId="0" borderId="48" xfId="0" applyNumberFormat="1" applyFont="1" applyFill="1" applyBorder="1" applyAlignment="1">
      <alignment horizontal="center" vertical="center" wrapText="1"/>
    </xf>
    <xf numFmtId="165" fontId="4" fillId="0" borderId="49" xfId="0" applyNumberFormat="1" applyFont="1" applyFill="1" applyBorder="1" applyAlignment="1">
      <alignment horizontal="center" vertical="center" wrapText="1"/>
    </xf>
    <xf numFmtId="165" fontId="4" fillId="0" borderId="50" xfId="0" applyNumberFormat="1" applyFont="1" applyFill="1" applyBorder="1" applyAlignment="1">
      <alignment horizontal="center" vertical="center" wrapText="1"/>
    </xf>
    <xf numFmtId="165" fontId="4" fillId="0" borderId="45" xfId="0" applyNumberFormat="1" applyFont="1" applyFill="1" applyBorder="1" applyAlignment="1">
      <alignment horizontal="center" vertical="center" wrapText="1"/>
    </xf>
    <xf numFmtId="165" fontId="5" fillId="0" borderId="29" xfId="0" applyNumberFormat="1" applyFont="1" applyFill="1" applyBorder="1" applyAlignment="1">
      <alignment horizontal="center" vertical="center" wrapText="1"/>
    </xf>
    <xf numFmtId="165" fontId="4" fillId="0" borderId="48" xfId="2" applyNumberFormat="1" applyFont="1" applyFill="1" applyBorder="1" applyAlignment="1">
      <alignment horizontal="center" vertical="center" wrapText="1"/>
    </xf>
    <xf numFmtId="165" fontId="5" fillId="0" borderId="49" xfId="0" applyNumberFormat="1" applyFont="1" applyFill="1" applyBorder="1" applyAlignment="1">
      <alignment horizontal="center" vertical="center" wrapText="1"/>
    </xf>
    <xf numFmtId="165" fontId="5" fillId="0" borderId="46" xfId="0" applyNumberFormat="1" applyFont="1" applyFill="1" applyBorder="1" applyAlignment="1">
      <alignment horizontal="center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4" fillId="0" borderId="29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Continuous" vertical="center" wrapText="1"/>
    </xf>
    <xf numFmtId="0" fontId="5" fillId="0" borderId="29" xfId="0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2" xfId="2" applyNumberFormat="1" applyFont="1" applyFill="1" applyBorder="1" applyAlignment="1">
      <alignment horizontal="center" vertical="center" wrapText="1"/>
    </xf>
    <xf numFmtId="4" fontId="5" fillId="2" borderId="2" xfId="2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3" xfId="2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0" xfId="2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5" fillId="2" borderId="31" xfId="2" applyNumberFormat="1" applyFont="1" applyFill="1" applyBorder="1" applyAlignment="1">
      <alignment horizontal="center" vertical="center" wrapText="1"/>
    </xf>
    <xf numFmtId="4" fontId="5" fillId="0" borderId="31" xfId="2" applyNumberFormat="1" applyFont="1" applyFill="1" applyBorder="1" applyAlignment="1">
      <alignment horizontal="center" vertical="center" wrapText="1"/>
    </xf>
    <xf numFmtId="4" fontId="5" fillId="0" borderId="3" xfId="2" applyNumberFormat="1" applyFont="1" applyFill="1" applyBorder="1" applyAlignment="1">
      <alignment horizontal="center" vertical="center" wrapText="1"/>
    </xf>
    <xf numFmtId="4" fontId="4" fillId="0" borderId="9" xfId="2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165" fontId="4" fillId="0" borderId="11" xfId="2" applyNumberFormat="1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165" fontId="4" fillId="0" borderId="24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/>
    <xf numFmtId="0" fontId="4" fillId="0" borderId="0" xfId="0" applyFont="1" applyAlignment="1">
      <alignment horizontal="right" vertical="center"/>
    </xf>
    <xf numFmtId="0" fontId="10" fillId="0" borderId="35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166" fontId="10" fillId="2" borderId="4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9" fillId="2" borderId="18" xfId="0" applyNumberFormat="1" applyFont="1" applyFill="1" applyBorder="1" applyAlignment="1">
      <alignment horizontal="center" vertical="center" wrapText="1"/>
    </xf>
    <xf numFmtId="166" fontId="10" fillId="2" borderId="3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6" fontId="9" fillId="0" borderId="18" xfId="0" applyNumberFormat="1" applyFont="1" applyFill="1" applyBorder="1" applyAlignment="1">
      <alignment horizontal="center" vertical="center" wrapText="1"/>
    </xf>
    <xf numFmtId="166" fontId="10" fillId="0" borderId="3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166" fontId="9" fillId="0" borderId="36" xfId="0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66" fontId="9" fillId="0" borderId="3" xfId="2" applyNumberFormat="1" applyFont="1" applyFill="1" applyBorder="1" applyAlignment="1">
      <alignment horizontal="center" vertical="center" wrapText="1"/>
    </xf>
    <xf numFmtId="166" fontId="9" fillId="0" borderId="38" xfId="0" applyNumberFormat="1" applyFont="1" applyFill="1" applyBorder="1" applyAlignment="1">
      <alignment horizontal="center" vertical="center" wrapText="1"/>
    </xf>
    <xf numFmtId="166" fontId="9" fillId="0" borderId="18" xfId="2" applyNumberFormat="1" applyFont="1" applyFill="1" applyBorder="1" applyAlignment="1">
      <alignment horizontal="center" vertical="center" wrapText="1"/>
    </xf>
    <xf numFmtId="166" fontId="10" fillId="0" borderId="35" xfId="2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66" fontId="10" fillId="0" borderId="3" xfId="2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166" fontId="10" fillId="0" borderId="18" xfId="0" applyNumberFormat="1" applyFont="1" applyFill="1" applyBorder="1" applyAlignment="1">
      <alignment horizontal="center" vertical="center" wrapText="1"/>
    </xf>
    <xf numFmtId="166" fontId="9" fillId="0" borderId="40" xfId="0" applyNumberFormat="1" applyFont="1" applyFill="1" applyBorder="1" applyAlignment="1">
      <alignment horizontal="center" vertical="center" wrapText="1"/>
    </xf>
    <xf numFmtId="166" fontId="9" fillId="2" borderId="3" xfId="2" applyNumberFormat="1" applyFont="1" applyFill="1" applyBorder="1" applyAlignment="1">
      <alignment horizontal="center" vertical="center" wrapText="1"/>
    </xf>
    <xf numFmtId="166" fontId="9" fillId="2" borderId="18" xfId="2" applyNumberFormat="1" applyFont="1" applyFill="1" applyBorder="1" applyAlignment="1">
      <alignment horizontal="center" vertical="center" wrapText="1"/>
    </xf>
    <xf numFmtId="166" fontId="10" fillId="2" borderId="42" xfId="2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166" fontId="9" fillId="0" borderId="4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66" fontId="10" fillId="0" borderId="4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166" fontId="9" fillId="0" borderId="24" xfId="2" applyNumberFormat="1" applyFont="1" applyFill="1" applyBorder="1" applyAlignment="1">
      <alignment horizontal="center" vertical="center" wrapText="1"/>
    </xf>
    <xf numFmtId="166" fontId="9" fillId="0" borderId="24" xfId="0" applyNumberFormat="1" applyFont="1" applyFill="1" applyBorder="1" applyAlignment="1">
      <alignment horizontal="center" vertical="center" wrapText="1"/>
    </xf>
    <xf numFmtId="166" fontId="9" fillId="0" borderId="25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6" fontId="9" fillId="0" borderId="9" xfId="0" applyNumberFormat="1" applyFont="1" applyFill="1" applyBorder="1" applyAlignment="1">
      <alignment horizontal="center" vertical="center" wrapText="1"/>
    </xf>
    <xf numFmtId="166" fontId="9" fillId="0" borderId="28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66" fontId="9" fillId="0" borderId="20" xfId="0" applyNumberFormat="1" applyFont="1" applyFill="1" applyBorder="1" applyAlignment="1">
      <alignment horizontal="center" vertical="center" wrapText="1"/>
    </xf>
    <xf numFmtId="166" fontId="9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textRotation="90" wrapText="1"/>
    </xf>
    <xf numFmtId="0" fontId="9" fillId="0" borderId="43" xfId="0" applyFont="1" applyFill="1" applyBorder="1" applyAlignment="1">
      <alignment horizontal="center" vertical="center" wrapText="1"/>
    </xf>
    <xf numFmtId="49" fontId="10" fillId="2" borderId="27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6" fontId="10" fillId="2" borderId="9" xfId="0" applyNumberFormat="1" applyFont="1" applyFill="1" applyBorder="1" applyAlignment="1">
      <alignment horizontal="center" vertical="center" wrapText="1"/>
    </xf>
    <xf numFmtId="166" fontId="10" fillId="2" borderId="28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Обычный" xfId="0" builtinId="0"/>
    <cellStyle name="Обычный_Приложение № 7 (АИП ПГО)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3"/>
  <sheetViews>
    <sheetView zoomScale="80" zoomScaleNormal="80" workbookViewId="0">
      <pane xSplit="3" ySplit="16" topLeftCell="E88" activePane="bottomRight" state="frozen"/>
      <selection pane="topRight" activeCell="D1" sqref="D1"/>
      <selection pane="bottomLeft" activeCell="A9" sqref="A9"/>
      <selection pane="bottomRight" activeCell="A6" sqref="A6"/>
    </sheetView>
  </sheetViews>
  <sheetFormatPr defaultColWidth="9.140625" defaultRowHeight="18.75" x14ac:dyDescent="0.2"/>
  <cols>
    <col min="1" max="1" width="126.42578125" style="1" customWidth="1"/>
    <col min="2" max="2" width="20.85546875" style="1" customWidth="1"/>
    <col min="3" max="3" width="22.28515625" style="11" customWidth="1"/>
    <col min="4" max="4" width="20.140625" style="11" hidden="1" customWidth="1"/>
    <col min="5" max="5" width="17.85546875" style="11" customWidth="1"/>
    <col min="6" max="6" width="7.28515625" style="1" customWidth="1"/>
    <col min="7" max="7" width="7.140625" style="1" customWidth="1"/>
    <col min="8" max="8" width="11.140625" style="1" customWidth="1"/>
    <col min="9" max="9" width="7.28515625" style="1" customWidth="1"/>
    <col min="10" max="10" width="18.5703125" style="1" hidden="1" customWidth="1"/>
    <col min="11" max="11" width="18.140625" style="1" hidden="1" customWidth="1"/>
    <col min="12" max="12" width="18.140625" style="1" customWidth="1"/>
    <col min="13" max="14" width="17.140625" style="1" hidden="1" customWidth="1"/>
    <col min="15" max="15" width="17.140625" style="1" customWidth="1"/>
    <col min="16" max="16" width="16.5703125" style="1" customWidth="1"/>
    <col min="17" max="17" width="18" style="1" hidden="1" customWidth="1"/>
    <col min="18" max="18" width="16.28515625" style="1" customWidth="1"/>
    <col min="19" max="19" width="33.5703125" style="1" customWidth="1"/>
    <col min="20" max="22" width="9.140625" style="1"/>
    <col min="23" max="16384" width="9.140625" style="2"/>
  </cols>
  <sheetData>
    <row r="1" spans="1:22" x14ac:dyDescent="0.2">
      <c r="L1" s="3" t="s">
        <v>30</v>
      </c>
      <c r="N1" s="3"/>
      <c r="O1" s="3"/>
      <c r="Q1" s="4"/>
      <c r="R1" s="4"/>
      <c r="S1" s="4"/>
    </row>
    <row r="2" spans="1:22" x14ac:dyDescent="0.2">
      <c r="L2" s="3"/>
      <c r="N2" s="3"/>
      <c r="O2" s="3"/>
      <c r="Q2" s="4"/>
      <c r="R2" s="4"/>
      <c r="S2" s="4"/>
    </row>
    <row r="3" spans="1:22" x14ac:dyDescent="0.2">
      <c r="L3" s="3" t="s">
        <v>31</v>
      </c>
      <c r="N3" s="3"/>
      <c r="O3" s="3"/>
      <c r="Q3" s="4"/>
      <c r="R3" s="4"/>
      <c r="S3" s="4"/>
    </row>
    <row r="4" spans="1:22" x14ac:dyDescent="0.2">
      <c r="L4" s="3" t="s">
        <v>32</v>
      </c>
      <c r="N4" s="3"/>
      <c r="O4" s="3"/>
      <c r="Q4" s="4"/>
      <c r="R4" s="4"/>
      <c r="S4" s="4"/>
    </row>
    <row r="5" spans="1:22" x14ac:dyDescent="0.2">
      <c r="L5" s="5" t="s">
        <v>33</v>
      </c>
      <c r="N5" s="5"/>
      <c r="O5" s="5"/>
      <c r="Q5" s="4"/>
      <c r="R5" s="4"/>
      <c r="S5" s="4"/>
    </row>
    <row r="6" spans="1:22" ht="34.9" customHeight="1" x14ac:dyDescent="0.3">
      <c r="L6" s="6" t="s">
        <v>34</v>
      </c>
      <c r="N6" s="6"/>
      <c r="O6" s="6"/>
      <c r="Q6" s="4"/>
      <c r="R6" s="4"/>
      <c r="S6" s="4"/>
    </row>
    <row r="8" spans="1:22" s="9" customFormat="1" ht="9" customHeight="1" x14ac:dyDescent="0.2">
      <c r="A8" s="105"/>
      <c r="B8" s="105"/>
      <c r="C8" s="126"/>
      <c r="D8" s="126"/>
      <c r="E8" s="126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8"/>
      <c r="S8" s="8"/>
      <c r="T8" s="8"/>
      <c r="U8" s="8"/>
      <c r="V8" s="8"/>
    </row>
    <row r="9" spans="1:22" s="9" customFormat="1" x14ac:dyDescent="0.2">
      <c r="A9" s="257" t="s">
        <v>6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8"/>
      <c r="S9" s="8"/>
      <c r="T9" s="8"/>
      <c r="U9" s="8"/>
      <c r="V9" s="8"/>
    </row>
    <row r="10" spans="1:22" s="9" customFormat="1" ht="1.5" customHeight="1" x14ac:dyDescent="0.2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8"/>
      <c r="S10" s="8"/>
      <c r="T10" s="8"/>
      <c r="U10" s="8"/>
      <c r="V10" s="8"/>
    </row>
    <row r="11" spans="1:22" x14ac:dyDescent="0.2">
      <c r="Q11" s="10"/>
    </row>
    <row r="12" spans="1:22" ht="19.5" thickBot="1" x14ac:dyDescent="0.25">
      <c r="P12" s="11" t="s">
        <v>0</v>
      </c>
      <c r="Q12" s="11" t="s">
        <v>0</v>
      </c>
    </row>
    <row r="13" spans="1:22" s="4" customFormat="1" ht="53.25" customHeight="1" thickBot="1" x14ac:dyDescent="0.25">
      <c r="A13" s="258" t="s">
        <v>71</v>
      </c>
      <c r="B13" s="261" t="s">
        <v>7</v>
      </c>
      <c r="C13" s="261" t="s">
        <v>26</v>
      </c>
      <c r="D13" s="261" t="s">
        <v>82</v>
      </c>
      <c r="E13" s="261" t="s">
        <v>8</v>
      </c>
      <c r="F13" s="264" t="s">
        <v>1</v>
      </c>
      <c r="G13" s="264" t="s">
        <v>2</v>
      </c>
      <c r="H13" s="264" t="s">
        <v>3</v>
      </c>
      <c r="I13" s="264" t="s">
        <v>4</v>
      </c>
      <c r="J13" s="267" t="s">
        <v>70</v>
      </c>
      <c r="K13" s="268"/>
      <c r="L13" s="268"/>
      <c r="M13" s="268"/>
      <c r="N13" s="268"/>
      <c r="O13" s="268"/>
      <c r="P13" s="269"/>
      <c r="Q13" s="104" t="s">
        <v>5</v>
      </c>
      <c r="R13" s="7"/>
      <c r="S13" s="7"/>
      <c r="T13" s="7"/>
      <c r="U13" s="7"/>
      <c r="V13" s="7"/>
    </row>
    <row r="14" spans="1:22" s="4" customFormat="1" ht="53.25" customHeight="1" thickBot="1" x14ac:dyDescent="0.25">
      <c r="A14" s="259"/>
      <c r="B14" s="262"/>
      <c r="C14" s="262"/>
      <c r="D14" s="262"/>
      <c r="E14" s="262"/>
      <c r="F14" s="265"/>
      <c r="G14" s="265"/>
      <c r="H14" s="265"/>
      <c r="I14" s="265"/>
      <c r="J14" s="121">
        <v>2013</v>
      </c>
      <c r="K14" s="121"/>
      <c r="L14" s="261" t="s">
        <v>99</v>
      </c>
      <c r="M14" s="121">
        <v>2014</v>
      </c>
      <c r="N14" s="122"/>
      <c r="O14" s="261" t="s">
        <v>100</v>
      </c>
      <c r="P14" s="272" t="s">
        <v>101</v>
      </c>
      <c r="Q14" s="104"/>
      <c r="R14" s="7"/>
      <c r="S14" s="7"/>
      <c r="T14" s="7"/>
      <c r="U14" s="7"/>
      <c r="V14" s="7"/>
    </row>
    <row r="15" spans="1:22" s="4" customFormat="1" ht="5.25" customHeight="1" thickBot="1" x14ac:dyDescent="0.25">
      <c r="A15" s="260"/>
      <c r="B15" s="263"/>
      <c r="C15" s="263"/>
      <c r="D15" s="263"/>
      <c r="E15" s="263"/>
      <c r="F15" s="266"/>
      <c r="G15" s="266"/>
      <c r="H15" s="266"/>
      <c r="I15" s="266"/>
      <c r="J15" s="12" t="s">
        <v>92</v>
      </c>
      <c r="K15" s="12" t="s">
        <v>93</v>
      </c>
      <c r="L15" s="263"/>
      <c r="M15" s="12" t="s">
        <v>92</v>
      </c>
      <c r="N15" s="12" t="s">
        <v>93</v>
      </c>
      <c r="O15" s="263"/>
      <c r="P15" s="273"/>
      <c r="Q15" s="104"/>
      <c r="R15" s="7"/>
      <c r="S15" s="7"/>
      <c r="T15" s="7"/>
      <c r="U15" s="7"/>
      <c r="V15" s="7"/>
    </row>
    <row r="16" spans="1:22" s="4" customFormat="1" ht="19.5" thickBot="1" x14ac:dyDescent="0.25">
      <c r="A16" s="13">
        <v>1</v>
      </c>
      <c r="B16" s="14">
        <v>2</v>
      </c>
      <c r="C16" s="14">
        <v>3</v>
      </c>
      <c r="D16" s="14">
        <v>4</v>
      </c>
      <c r="E16" s="14">
        <v>4</v>
      </c>
      <c r="F16" s="14">
        <v>5</v>
      </c>
      <c r="G16" s="14">
        <v>6</v>
      </c>
      <c r="H16" s="14">
        <v>7</v>
      </c>
      <c r="I16" s="14">
        <v>8</v>
      </c>
      <c r="J16" s="14">
        <v>10</v>
      </c>
      <c r="K16" s="14"/>
      <c r="L16" s="14">
        <v>9</v>
      </c>
      <c r="M16" s="14">
        <v>11</v>
      </c>
      <c r="N16" s="106"/>
      <c r="O16" s="106">
        <v>10</v>
      </c>
      <c r="P16" s="15">
        <v>11</v>
      </c>
      <c r="Q16" s="48">
        <v>13</v>
      </c>
    </row>
    <row r="17" spans="1:22" s="4" customFormat="1" ht="38.25" thickBot="1" x14ac:dyDescent="0.25">
      <c r="A17" s="33" t="s">
        <v>72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107"/>
      <c r="O17" s="107"/>
      <c r="P17" s="54"/>
      <c r="Q17" s="35"/>
    </row>
    <row r="18" spans="1:22" s="4" customFormat="1" ht="56.25" customHeight="1" x14ac:dyDescent="0.2">
      <c r="A18" s="16" t="s">
        <v>21</v>
      </c>
      <c r="B18" s="123" t="s">
        <v>116</v>
      </c>
      <c r="C18" s="149" t="s">
        <v>102</v>
      </c>
      <c r="D18" s="150" t="s">
        <v>83</v>
      </c>
      <c r="E18" s="150">
        <v>5380.3146500000003</v>
      </c>
      <c r="F18" s="25"/>
      <c r="G18" s="25"/>
      <c r="H18" s="25"/>
      <c r="I18" s="25"/>
      <c r="J18" s="55">
        <f>+J21+J20</f>
        <v>5380.3146500000003</v>
      </c>
      <c r="K18" s="55">
        <f t="shared" ref="K18" si="0">+K21+K20</f>
        <v>0</v>
      </c>
      <c r="L18" s="55">
        <v>5380.3146500000003</v>
      </c>
      <c r="M18" s="55"/>
      <c r="N18" s="108"/>
      <c r="O18" s="108"/>
      <c r="P18" s="56"/>
      <c r="Q18" s="36"/>
    </row>
    <row r="19" spans="1:22" s="4" customFormat="1" x14ac:dyDescent="0.2">
      <c r="A19" s="17" t="s">
        <v>73</v>
      </c>
      <c r="B19" s="31"/>
      <c r="C19" s="151"/>
      <c r="D19" s="151"/>
      <c r="E19" s="151"/>
      <c r="F19" s="31"/>
      <c r="G19" s="31"/>
      <c r="H19" s="31"/>
      <c r="I19" s="31"/>
      <c r="J19" s="57"/>
      <c r="K19" s="57"/>
      <c r="L19" s="57"/>
      <c r="M19" s="57"/>
      <c r="N19" s="109"/>
      <c r="O19" s="109"/>
      <c r="P19" s="58"/>
      <c r="Q19" s="37"/>
    </row>
    <row r="20" spans="1:22" s="4" customFormat="1" x14ac:dyDescent="0.2">
      <c r="A20" s="129" t="s">
        <v>74</v>
      </c>
      <c r="B20" s="59"/>
      <c r="C20" s="151"/>
      <c r="D20" s="151"/>
      <c r="E20" s="151"/>
      <c r="F20" s="59"/>
      <c r="G20" s="59"/>
      <c r="H20" s="59"/>
      <c r="I20" s="59"/>
      <c r="J20" s="60"/>
      <c r="K20" s="60"/>
      <c r="L20" s="60"/>
      <c r="M20" s="60"/>
      <c r="N20" s="110"/>
      <c r="O20" s="110"/>
      <c r="P20" s="61"/>
      <c r="Q20" s="38"/>
    </row>
    <row r="21" spans="1:22" s="4" customFormat="1" ht="19.5" thickBot="1" x14ac:dyDescent="0.25">
      <c r="A21" s="18" t="s">
        <v>75</v>
      </c>
      <c r="B21" s="32"/>
      <c r="C21" s="152"/>
      <c r="D21" s="152"/>
      <c r="E21" s="152"/>
      <c r="F21" s="32" t="s">
        <v>35</v>
      </c>
      <c r="G21" s="32" t="s">
        <v>36</v>
      </c>
      <c r="H21" s="32">
        <v>5309903</v>
      </c>
      <c r="I21" s="32">
        <v>914</v>
      </c>
      <c r="J21" s="62">
        <v>5380.3146500000003</v>
      </c>
      <c r="K21" s="62"/>
      <c r="L21" s="62">
        <v>5380.3146500000003</v>
      </c>
      <c r="M21" s="63"/>
      <c r="N21" s="111"/>
      <c r="O21" s="111"/>
      <c r="P21" s="64"/>
      <c r="Q21" s="39"/>
    </row>
    <row r="22" spans="1:22" s="4" customFormat="1" ht="56.25" customHeight="1" x14ac:dyDescent="0.2">
      <c r="A22" s="16" t="s">
        <v>9</v>
      </c>
      <c r="B22" s="65" t="s">
        <v>81</v>
      </c>
      <c r="C22" s="149" t="s">
        <v>118</v>
      </c>
      <c r="D22" s="149" t="s">
        <v>84</v>
      </c>
      <c r="E22" s="149">
        <v>52518.1</v>
      </c>
      <c r="F22" s="25"/>
      <c r="G22" s="25"/>
      <c r="H22" s="25"/>
      <c r="I22" s="25"/>
      <c r="J22" s="55">
        <f>+J24</f>
        <v>1700</v>
      </c>
      <c r="K22" s="55">
        <f t="shared" ref="K22" si="1">+K24</f>
        <v>10000</v>
      </c>
      <c r="L22" s="55">
        <v>1700</v>
      </c>
      <c r="M22" s="55">
        <f>+M24</f>
        <v>50818.09</v>
      </c>
      <c r="N22" s="55">
        <f t="shared" ref="N22:O22" si="2">+N24</f>
        <v>-10000</v>
      </c>
      <c r="O22" s="55">
        <f t="shared" si="2"/>
        <v>40818.089999999997</v>
      </c>
      <c r="P22" s="56"/>
      <c r="Q22" s="36"/>
    </row>
    <row r="23" spans="1:22" s="4" customFormat="1" x14ac:dyDescent="0.2">
      <c r="A23" s="19" t="s">
        <v>73</v>
      </c>
      <c r="B23" s="27"/>
      <c r="C23" s="151"/>
      <c r="D23" s="151"/>
      <c r="E23" s="151"/>
      <c r="F23" s="26"/>
      <c r="G23" s="26"/>
      <c r="H23" s="26"/>
      <c r="I23" s="26"/>
      <c r="J23" s="66"/>
      <c r="K23" s="66"/>
      <c r="L23" s="66"/>
      <c r="M23" s="66"/>
      <c r="N23" s="112"/>
      <c r="O23" s="112"/>
      <c r="P23" s="67"/>
      <c r="Q23" s="40"/>
    </row>
    <row r="24" spans="1:22" s="4" customFormat="1" ht="19.5" thickBot="1" x14ac:dyDescent="0.25">
      <c r="A24" s="130" t="s">
        <v>74</v>
      </c>
      <c r="B24" s="28"/>
      <c r="C24" s="152"/>
      <c r="D24" s="152"/>
      <c r="E24" s="152"/>
      <c r="F24" s="68" t="s">
        <v>35</v>
      </c>
      <c r="G24" s="68" t="s">
        <v>36</v>
      </c>
      <c r="H24" s="69" t="s">
        <v>37</v>
      </c>
      <c r="I24" s="69" t="s">
        <v>38</v>
      </c>
      <c r="J24" s="70">
        <v>1700</v>
      </c>
      <c r="K24" s="70">
        <v>10000</v>
      </c>
      <c r="L24" s="62">
        <v>1700</v>
      </c>
      <c r="M24" s="71">
        <v>50818.09</v>
      </c>
      <c r="N24" s="113">
        <v>-10000</v>
      </c>
      <c r="O24" s="62">
        <v>40818.089999999997</v>
      </c>
      <c r="P24" s="72"/>
      <c r="Q24" s="41"/>
      <c r="R24" s="7"/>
      <c r="S24" s="7"/>
      <c r="T24" s="7"/>
    </row>
    <row r="25" spans="1:22" s="4" customFormat="1" ht="56.25" x14ac:dyDescent="0.2">
      <c r="A25" s="16" t="s">
        <v>10</v>
      </c>
      <c r="B25" s="125" t="s">
        <v>57</v>
      </c>
      <c r="C25" s="136" t="s">
        <v>125</v>
      </c>
      <c r="D25" s="136"/>
      <c r="E25" s="153">
        <f>4306.13</f>
        <v>4306.13</v>
      </c>
      <c r="F25" s="25"/>
      <c r="G25" s="25"/>
      <c r="H25" s="25"/>
      <c r="I25" s="25"/>
      <c r="J25" s="55">
        <f>J27</f>
        <v>455.33231000000001</v>
      </c>
      <c r="K25" s="55">
        <f>+K27</f>
        <v>-18.560120000000001</v>
      </c>
      <c r="L25" s="55">
        <v>434.27219000000002</v>
      </c>
      <c r="M25" s="55"/>
      <c r="N25" s="108"/>
      <c r="O25" s="108"/>
      <c r="P25" s="56"/>
      <c r="Q25" s="36"/>
      <c r="R25" s="7"/>
      <c r="S25" s="7"/>
      <c r="T25" s="7"/>
    </row>
    <row r="26" spans="1:22" s="4" customFormat="1" x14ac:dyDescent="0.2">
      <c r="A26" s="19" t="s">
        <v>73</v>
      </c>
      <c r="B26" s="27"/>
      <c r="C26" s="139"/>
      <c r="D26" s="139"/>
      <c r="E26" s="140"/>
      <c r="F26" s="26"/>
      <c r="G26" s="26"/>
      <c r="H26" s="26"/>
      <c r="I26" s="26"/>
      <c r="J26" s="66"/>
      <c r="K26" s="66"/>
      <c r="L26" s="66"/>
      <c r="M26" s="66"/>
      <c r="N26" s="112"/>
      <c r="O26" s="112"/>
      <c r="P26" s="67"/>
      <c r="Q26" s="40"/>
      <c r="R26" s="7"/>
      <c r="S26" s="7"/>
      <c r="T26" s="7"/>
    </row>
    <row r="27" spans="1:22" s="4" customFormat="1" ht="19.5" thickBot="1" x14ac:dyDescent="0.25">
      <c r="A27" s="130" t="s">
        <v>74</v>
      </c>
      <c r="B27" s="28"/>
      <c r="C27" s="135"/>
      <c r="D27" s="135"/>
      <c r="E27" s="139"/>
      <c r="F27" s="52" t="s">
        <v>35</v>
      </c>
      <c r="G27" s="52" t="s">
        <v>36</v>
      </c>
      <c r="H27" s="52" t="s">
        <v>37</v>
      </c>
      <c r="I27" s="52" t="s">
        <v>39</v>
      </c>
      <c r="J27" s="70">
        <v>455.33231000000001</v>
      </c>
      <c r="K27" s="70">
        <v>-18.560120000000001</v>
      </c>
      <c r="L27" s="62">
        <v>434.27219000000002</v>
      </c>
      <c r="M27" s="71"/>
      <c r="N27" s="113"/>
      <c r="O27" s="113"/>
      <c r="P27" s="72"/>
      <c r="Q27" s="41"/>
      <c r="R27" s="7"/>
      <c r="S27" s="7"/>
      <c r="T27" s="7"/>
    </row>
    <row r="28" spans="1:22" s="4" customFormat="1" x14ac:dyDescent="0.2">
      <c r="A28" s="16" t="s">
        <v>11</v>
      </c>
      <c r="B28" s="29" t="s">
        <v>58</v>
      </c>
      <c r="C28" s="136" t="s">
        <v>103</v>
      </c>
      <c r="D28" s="136"/>
      <c r="E28" s="150" t="s">
        <v>103</v>
      </c>
      <c r="F28" s="25"/>
      <c r="G28" s="25"/>
      <c r="H28" s="25"/>
      <c r="I28" s="25"/>
      <c r="J28" s="55">
        <f>J30</f>
        <v>20000</v>
      </c>
      <c r="K28" s="55">
        <f>+K30</f>
        <v>0</v>
      </c>
      <c r="L28" s="55">
        <v>12000</v>
      </c>
      <c r="M28" s="55"/>
      <c r="N28" s="108"/>
      <c r="O28" s="108"/>
      <c r="P28" s="56"/>
      <c r="Q28" s="36"/>
      <c r="R28" s="7"/>
      <c r="S28" s="7"/>
      <c r="T28" s="7"/>
    </row>
    <row r="29" spans="1:22" s="4" customFormat="1" x14ac:dyDescent="0.2">
      <c r="A29" s="19" t="s">
        <v>73</v>
      </c>
      <c r="B29" s="27"/>
      <c r="C29" s="139"/>
      <c r="D29" s="139"/>
      <c r="E29" s="151"/>
      <c r="F29" s="26"/>
      <c r="G29" s="26"/>
      <c r="H29" s="26"/>
      <c r="I29" s="26"/>
      <c r="J29" s="66"/>
      <c r="K29" s="66"/>
      <c r="L29" s="66"/>
      <c r="M29" s="66"/>
      <c r="N29" s="112"/>
      <c r="O29" s="112"/>
      <c r="P29" s="67"/>
      <c r="Q29" s="40"/>
      <c r="R29" s="7"/>
      <c r="S29" s="7"/>
      <c r="T29" s="7"/>
    </row>
    <row r="30" spans="1:22" s="4" customFormat="1" ht="19.5" thickBot="1" x14ac:dyDescent="0.25">
      <c r="A30" s="130" t="s">
        <v>74</v>
      </c>
      <c r="B30" s="28"/>
      <c r="C30" s="135"/>
      <c r="D30" s="135"/>
      <c r="E30" s="152"/>
      <c r="F30" s="52" t="s">
        <v>35</v>
      </c>
      <c r="G30" s="52" t="s">
        <v>36</v>
      </c>
      <c r="H30" s="52" t="s">
        <v>37</v>
      </c>
      <c r="I30" s="52" t="s">
        <v>40</v>
      </c>
      <c r="J30" s="70">
        <v>20000</v>
      </c>
      <c r="K30" s="70"/>
      <c r="L30" s="62">
        <v>12000</v>
      </c>
      <c r="M30" s="71"/>
      <c r="N30" s="113"/>
      <c r="O30" s="113"/>
      <c r="P30" s="72"/>
      <c r="Q30" s="41"/>
      <c r="R30" s="7"/>
      <c r="S30" s="7"/>
      <c r="T30" s="7"/>
    </row>
    <row r="31" spans="1:22" s="4" customFormat="1" ht="37.5" x14ac:dyDescent="0.2">
      <c r="A31" s="16" t="s">
        <v>94</v>
      </c>
      <c r="B31" s="123" t="s">
        <v>58</v>
      </c>
      <c r="C31" s="136" t="s">
        <v>103</v>
      </c>
      <c r="D31" s="136"/>
      <c r="E31" s="131" t="s">
        <v>103</v>
      </c>
      <c r="F31" s="25"/>
      <c r="G31" s="25"/>
      <c r="H31" s="25"/>
      <c r="I31" s="25"/>
      <c r="J31" s="77">
        <f>+J33</f>
        <v>0</v>
      </c>
      <c r="K31" s="77">
        <f t="shared" ref="K31" si="3">+K33</f>
        <v>4550</v>
      </c>
      <c r="L31" s="77">
        <v>0</v>
      </c>
      <c r="M31" s="78"/>
      <c r="N31" s="114"/>
      <c r="O31" s="114"/>
      <c r="P31" s="79"/>
      <c r="Q31" s="43"/>
      <c r="R31" s="7"/>
      <c r="S31" s="7"/>
      <c r="T31" s="7"/>
      <c r="U31" s="7"/>
      <c r="V31" s="7"/>
    </row>
    <row r="32" spans="1:22" s="4" customFormat="1" x14ac:dyDescent="0.2">
      <c r="A32" s="17" t="s">
        <v>73</v>
      </c>
      <c r="B32" s="124"/>
      <c r="C32" s="138"/>
      <c r="D32" s="138"/>
      <c r="E32" s="138"/>
      <c r="F32" s="31"/>
      <c r="G32" s="31"/>
      <c r="H32" s="31"/>
      <c r="I32" s="31"/>
      <c r="J32" s="74"/>
      <c r="K32" s="74"/>
      <c r="L32" s="74"/>
      <c r="M32" s="57"/>
      <c r="N32" s="109"/>
      <c r="O32" s="109"/>
      <c r="P32" s="58"/>
      <c r="Q32" s="37"/>
      <c r="R32" s="7"/>
      <c r="S32" s="7"/>
      <c r="T32" s="7"/>
      <c r="U32" s="7"/>
      <c r="V32" s="7"/>
    </row>
    <row r="33" spans="1:22" s="4" customFormat="1" ht="21.75" customHeight="1" thickBot="1" x14ac:dyDescent="0.25">
      <c r="A33" s="17" t="s">
        <v>74</v>
      </c>
      <c r="B33" s="124"/>
      <c r="C33" s="138"/>
      <c r="D33" s="138"/>
      <c r="E33" s="138"/>
      <c r="F33" s="69" t="s">
        <v>35</v>
      </c>
      <c r="G33" s="69" t="s">
        <v>36</v>
      </c>
      <c r="H33" s="69" t="s">
        <v>37</v>
      </c>
      <c r="I33" s="69">
        <v>957</v>
      </c>
      <c r="J33" s="74"/>
      <c r="K33" s="74">
        <v>4550</v>
      </c>
      <c r="L33" s="74">
        <v>0</v>
      </c>
      <c r="M33" s="57"/>
      <c r="N33" s="109"/>
      <c r="O33" s="109"/>
      <c r="P33" s="58"/>
      <c r="Q33" s="37"/>
      <c r="R33" s="7"/>
      <c r="S33" s="7"/>
      <c r="T33" s="7"/>
      <c r="U33" s="7"/>
      <c r="V33" s="7"/>
    </row>
    <row r="34" spans="1:22" s="4" customFormat="1" ht="37.5" x14ac:dyDescent="0.2">
      <c r="A34" s="16" t="s">
        <v>96</v>
      </c>
      <c r="B34" s="123" t="s">
        <v>58</v>
      </c>
      <c r="C34" s="136" t="s">
        <v>103</v>
      </c>
      <c r="D34" s="136"/>
      <c r="E34" s="131" t="s">
        <v>103</v>
      </c>
      <c r="F34" s="25"/>
      <c r="G34" s="25"/>
      <c r="H34" s="25"/>
      <c r="I34" s="25"/>
      <c r="J34" s="77">
        <f>+J36</f>
        <v>0</v>
      </c>
      <c r="K34" s="77">
        <f t="shared" ref="K34" si="4">+K36</f>
        <v>3750</v>
      </c>
      <c r="L34" s="77">
        <v>0</v>
      </c>
      <c r="M34" s="78"/>
      <c r="N34" s="114"/>
      <c r="O34" s="114"/>
      <c r="P34" s="79"/>
      <c r="Q34" s="43"/>
      <c r="R34" s="7"/>
      <c r="S34" s="7"/>
      <c r="T34" s="7"/>
      <c r="U34" s="7"/>
      <c r="V34" s="7"/>
    </row>
    <row r="35" spans="1:22" s="4" customFormat="1" x14ac:dyDescent="0.2">
      <c r="A35" s="17" t="s">
        <v>73</v>
      </c>
      <c r="B35" s="31"/>
      <c r="C35" s="138"/>
      <c r="D35" s="138"/>
      <c r="E35" s="138"/>
      <c r="F35" s="31"/>
      <c r="G35" s="31"/>
      <c r="H35" s="31"/>
      <c r="I35" s="31"/>
      <c r="J35" s="74"/>
      <c r="K35" s="74"/>
      <c r="L35" s="74"/>
      <c r="M35" s="57"/>
      <c r="N35" s="109"/>
      <c r="O35" s="109"/>
      <c r="P35" s="58"/>
      <c r="Q35" s="37"/>
      <c r="R35" s="7"/>
      <c r="S35" s="7"/>
      <c r="T35" s="7"/>
      <c r="U35" s="7"/>
      <c r="V35" s="7"/>
    </row>
    <row r="36" spans="1:22" s="4" customFormat="1" ht="21.75" customHeight="1" thickBot="1" x14ac:dyDescent="0.25">
      <c r="A36" s="17" t="s">
        <v>74</v>
      </c>
      <c r="B36" s="31"/>
      <c r="C36" s="138"/>
      <c r="D36" s="138"/>
      <c r="E36" s="138"/>
      <c r="F36" s="69" t="s">
        <v>35</v>
      </c>
      <c r="G36" s="69" t="s">
        <v>36</v>
      </c>
      <c r="H36" s="69" t="s">
        <v>37</v>
      </c>
      <c r="I36" s="69">
        <v>958</v>
      </c>
      <c r="J36" s="74"/>
      <c r="K36" s="74">
        <v>3750</v>
      </c>
      <c r="L36" s="74">
        <v>0</v>
      </c>
      <c r="M36" s="57"/>
      <c r="N36" s="109"/>
      <c r="O36" s="109"/>
      <c r="P36" s="58"/>
      <c r="Q36" s="37"/>
      <c r="R36" s="7"/>
      <c r="S36" s="7"/>
      <c r="T36" s="7"/>
      <c r="U36" s="7"/>
      <c r="V36" s="7"/>
    </row>
    <row r="37" spans="1:22" s="4" customFormat="1" ht="37.5" x14ac:dyDescent="0.2">
      <c r="A37" s="16" t="s">
        <v>27</v>
      </c>
      <c r="B37" s="125">
        <v>2013</v>
      </c>
      <c r="C37" s="136" t="s">
        <v>103</v>
      </c>
      <c r="D37" s="136"/>
      <c r="E37" s="136" t="s">
        <v>103</v>
      </c>
      <c r="F37" s="25"/>
      <c r="G37" s="25"/>
      <c r="H37" s="25"/>
      <c r="I37" s="25"/>
      <c r="J37" s="55" t="e">
        <f>J39+J40+#REF!</f>
        <v>#REF!</v>
      </c>
      <c r="K37" s="55" t="e">
        <f>K39+K40+#REF!</f>
        <v>#REF!</v>
      </c>
      <c r="L37" s="55">
        <v>52.110979999999472</v>
      </c>
      <c r="M37" s="55"/>
      <c r="N37" s="108"/>
      <c r="O37" s="108"/>
      <c r="P37" s="56"/>
      <c r="Q37" s="36"/>
      <c r="R37" s="7"/>
      <c r="S37" s="7"/>
      <c r="T37" s="7"/>
      <c r="U37" s="7"/>
      <c r="V37" s="7"/>
    </row>
    <row r="38" spans="1:22" s="4" customFormat="1" x14ac:dyDescent="0.2">
      <c r="A38" s="19" t="s">
        <v>73</v>
      </c>
      <c r="B38" s="27"/>
      <c r="C38" s="139"/>
      <c r="D38" s="139"/>
      <c r="E38" s="139"/>
      <c r="F38" s="26"/>
      <c r="G38" s="26"/>
      <c r="H38" s="26"/>
      <c r="I38" s="26"/>
      <c r="J38" s="66"/>
      <c r="K38" s="66"/>
      <c r="L38" s="66"/>
      <c r="M38" s="66"/>
      <c r="N38" s="112"/>
      <c r="O38" s="112"/>
      <c r="P38" s="67"/>
      <c r="Q38" s="40"/>
      <c r="R38" s="7"/>
      <c r="S38" s="7"/>
      <c r="T38" s="7"/>
      <c r="U38" s="7"/>
      <c r="V38" s="7"/>
    </row>
    <row r="39" spans="1:22" s="4" customFormat="1" ht="19.5" thickBot="1" x14ac:dyDescent="0.25">
      <c r="A39" s="129" t="s">
        <v>74</v>
      </c>
      <c r="B39" s="34"/>
      <c r="C39" s="138"/>
      <c r="D39" s="138"/>
      <c r="E39" s="138"/>
      <c r="F39" s="31" t="s">
        <v>41</v>
      </c>
      <c r="G39" s="31" t="s">
        <v>42</v>
      </c>
      <c r="H39" s="69" t="s">
        <v>76</v>
      </c>
      <c r="I39" s="31" t="s">
        <v>43</v>
      </c>
      <c r="J39" s="74">
        <v>15066.434999999999</v>
      </c>
      <c r="K39" s="74"/>
      <c r="L39" s="74">
        <v>52.110979999999472</v>
      </c>
      <c r="M39" s="57"/>
      <c r="N39" s="109"/>
      <c r="O39" s="109"/>
      <c r="P39" s="58"/>
      <c r="Q39" s="40"/>
      <c r="R39" s="7"/>
      <c r="S39" s="7"/>
      <c r="T39" s="7"/>
      <c r="U39" s="7"/>
      <c r="V39" s="7"/>
    </row>
    <row r="40" spans="1:22" s="4" customFormat="1" ht="51" hidden="1" customHeight="1" thickBot="1" x14ac:dyDescent="0.25">
      <c r="A40" s="130" t="s">
        <v>22</v>
      </c>
      <c r="B40" s="28"/>
      <c r="C40" s="135"/>
      <c r="D40" s="135"/>
      <c r="E40" s="135"/>
      <c r="F40" s="52" t="s">
        <v>41</v>
      </c>
      <c r="G40" s="52" t="s">
        <v>42</v>
      </c>
      <c r="H40" s="52" t="s">
        <v>44</v>
      </c>
      <c r="I40" s="52">
        <v>932</v>
      </c>
      <c r="J40" s="71"/>
      <c r="K40" s="71"/>
      <c r="L40" s="71">
        <v>0</v>
      </c>
      <c r="M40" s="71"/>
      <c r="N40" s="113"/>
      <c r="O40" s="113"/>
      <c r="P40" s="72"/>
      <c r="Q40" s="41"/>
      <c r="R40" s="7"/>
      <c r="S40" s="7"/>
      <c r="T40" s="7"/>
      <c r="U40" s="7"/>
      <c r="V40" s="7"/>
    </row>
    <row r="41" spans="1:22" s="4" customFormat="1" ht="71.25" customHeight="1" x14ac:dyDescent="0.2">
      <c r="A41" s="16" t="s">
        <v>15</v>
      </c>
      <c r="B41" s="29" t="s">
        <v>59</v>
      </c>
      <c r="C41" s="132" t="s">
        <v>117</v>
      </c>
      <c r="D41" s="131" t="s">
        <v>85</v>
      </c>
      <c r="E41" s="131">
        <v>76949.146080000006</v>
      </c>
      <c r="F41" s="25"/>
      <c r="G41" s="25"/>
      <c r="H41" s="25"/>
      <c r="I41" s="25"/>
      <c r="J41" s="55">
        <f>J43+J44+J45</f>
        <v>59576.599830000006</v>
      </c>
      <c r="K41" s="55">
        <f t="shared" ref="K41" si="5">K43+K44+K45</f>
        <v>0</v>
      </c>
      <c r="L41" s="55">
        <f>+L43+L44+L45</f>
        <v>71136.959830000007</v>
      </c>
      <c r="M41" s="55"/>
      <c r="N41" s="108"/>
      <c r="O41" s="108"/>
      <c r="P41" s="56"/>
      <c r="Q41" s="36"/>
      <c r="R41" s="7"/>
      <c r="S41" s="7"/>
      <c r="T41" s="7"/>
      <c r="U41" s="7"/>
      <c r="V41" s="7"/>
    </row>
    <row r="42" spans="1:22" s="4" customFormat="1" x14ac:dyDescent="0.2">
      <c r="A42" s="19" t="s">
        <v>73</v>
      </c>
      <c r="B42" s="27"/>
      <c r="C42" s="139"/>
      <c r="D42" s="139"/>
      <c r="E42" s="139"/>
      <c r="F42" s="26"/>
      <c r="G42" s="26"/>
      <c r="H42" s="26"/>
      <c r="I42" s="26"/>
      <c r="J42" s="66"/>
      <c r="K42" s="66"/>
      <c r="L42" s="66"/>
      <c r="M42" s="66"/>
      <c r="N42" s="112"/>
      <c r="O42" s="112"/>
      <c r="P42" s="67"/>
      <c r="Q42" s="40"/>
      <c r="R42" s="7"/>
      <c r="S42" s="7"/>
      <c r="T42" s="7"/>
      <c r="U42" s="7"/>
      <c r="V42" s="7"/>
    </row>
    <row r="43" spans="1:22" s="4" customFormat="1" x14ac:dyDescent="0.2">
      <c r="A43" s="19" t="s">
        <v>74</v>
      </c>
      <c r="B43" s="27"/>
      <c r="C43" s="139"/>
      <c r="D43" s="139"/>
      <c r="E43" s="139"/>
      <c r="F43" s="69" t="s">
        <v>41</v>
      </c>
      <c r="G43" s="69" t="s">
        <v>45</v>
      </c>
      <c r="H43" s="69" t="s">
        <v>46</v>
      </c>
      <c r="I43" s="69" t="s">
        <v>60</v>
      </c>
      <c r="J43" s="74">
        <v>279.97683000000001</v>
      </c>
      <c r="K43" s="74"/>
      <c r="L43" s="74">
        <v>279.97683000000001</v>
      </c>
      <c r="M43" s="57"/>
      <c r="N43" s="109"/>
      <c r="O43" s="109"/>
      <c r="P43" s="58"/>
      <c r="Q43" s="40"/>
      <c r="R43" s="7"/>
      <c r="S43" s="7"/>
      <c r="T43" s="7"/>
      <c r="U43" s="7"/>
      <c r="V43" s="7"/>
    </row>
    <row r="44" spans="1:22" s="4" customFormat="1" ht="19.5" thickBot="1" x14ac:dyDescent="0.25">
      <c r="A44" s="270" t="s">
        <v>75</v>
      </c>
      <c r="B44" s="31"/>
      <c r="C44" s="138"/>
      <c r="D44" s="138"/>
      <c r="E44" s="138"/>
      <c r="F44" s="69" t="s">
        <v>41</v>
      </c>
      <c r="G44" s="69" t="s">
        <v>45</v>
      </c>
      <c r="H44" s="69" t="s">
        <v>61</v>
      </c>
      <c r="I44" s="69" t="s">
        <v>60</v>
      </c>
      <c r="J44" s="73">
        <f>23700.573</f>
        <v>23700.573</v>
      </c>
      <c r="K44" s="73"/>
      <c r="L44" s="73">
        <v>23700.573</v>
      </c>
      <c r="M44" s="66"/>
      <c r="N44" s="112"/>
      <c r="O44" s="112"/>
      <c r="P44" s="67"/>
      <c r="Q44" s="41"/>
      <c r="R44" s="7"/>
      <c r="S44" s="7"/>
      <c r="T44" s="7"/>
      <c r="U44" s="7"/>
      <c r="V44" s="7"/>
    </row>
    <row r="45" spans="1:22" s="4" customFormat="1" ht="19.5" thickBot="1" x14ac:dyDescent="0.25">
      <c r="A45" s="271"/>
      <c r="B45" s="28"/>
      <c r="C45" s="135"/>
      <c r="D45" s="135"/>
      <c r="E45" s="135"/>
      <c r="F45" s="75" t="s">
        <v>41</v>
      </c>
      <c r="G45" s="75" t="s">
        <v>45</v>
      </c>
      <c r="H45" s="76" t="s">
        <v>77</v>
      </c>
      <c r="I45" s="75" t="s">
        <v>60</v>
      </c>
      <c r="J45" s="70">
        <v>35596.050000000003</v>
      </c>
      <c r="K45" s="70"/>
      <c r="L45" s="70">
        <v>47156.41</v>
      </c>
      <c r="M45" s="71"/>
      <c r="N45" s="113"/>
      <c r="O45" s="113"/>
      <c r="P45" s="72"/>
      <c r="Q45" s="42"/>
      <c r="R45" s="7"/>
      <c r="S45" s="7"/>
      <c r="T45" s="7"/>
      <c r="U45" s="7"/>
      <c r="V45" s="7"/>
    </row>
    <row r="46" spans="1:22" s="4" customFormat="1" ht="59.25" customHeight="1" x14ac:dyDescent="0.2">
      <c r="A46" s="16" t="s">
        <v>126</v>
      </c>
      <c r="B46" s="29" t="s">
        <v>53</v>
      </c>
      <c r="C46" s="131" t="s">
        <v>104</v>
      </c>
      <c r="D46" s="131" t="s">
        <v>86</v>
      </c>
      <c r="E46" s="131">
        <f>14538.046+17326.72985</f>
        <v>31864.775849999998</v>
      </c>
      <c r="F46" s="25"/>
      <c r="G46" s="25"/>
      <c r="H46" s="25"/>
      <c r="I46" s="25"/>
      <c r="J46" s="77">
        <f>+J48+J49</f>
        <v>31864.775849999998</v>
      </c>
      <c r="K46" s="77">
        <f t="shared" ref="K46" si="6">+K48+K49</f>
        <v>0</v>
      </c>
      <c r="L46" s="77">
        <f>+L48+L49</f>
        <v>31864.775849999998</v>
      </c>
      <c r="M46" s="55"/>
      <c r="N46" s="108"/>
      <c r="O46" s="108"/>
      <c r="P46" s="56"/>
      <c r="Q46" s="36"/>
      <c r="R46" s="7"/>
      <c r="S46" s="7"/>
      <c r="T46" s="7"/>
      <c r="U46" s="7"/>
      <c r="V46" s="7"/>
    </row>
    <row r="47" spans="1:22" s="4" customFormat="1" x14ac:dyDescent="0.2">
      <c r="A47" s="19" t="s">
        <v>73</v>
      </c>
      <c r="B47" s="27"/>
      <c r="C47" s="139"/>
      <c r="D47" s="139"/>
      <c r="E47" s="139"/>
      <c r="F47" s="26"/>
      <c r="G47" s="26"/>
      <c r="H47" s="26"/>
      <c r="I47" s="26"/>
      <c r="J47" s="73"/>
      <c r="K47" s="73"/>
      <c r="L47" s="73"/>
      <c r="M47" s="66"/>
      <c r="N47" s="112"/>
      <c r="O47" s="112"/>
      <c r="P47" s="67"/>
      <c r="Q47" s="40"/>
      <c r="R47" s="7"/>
      <c r="S47" s="7"/>
      <c r="T47" s="7"/>
      <c r="U47" s="7"/>
      <c r="V47" s="7"/>
    </row>
    <row r="48" spans="1:22" s="4" customFormat="1" x14ac:dyDescent="0.2">
      <c r="A48" s="19" t="s">
        <v>74</v>
      </c>
      <c r="B48" s="27"/>
      <c r="C48" s="139"/>
      <c r="D48" s="139"/>
      <c r="E48" s="139"/>
      <c r="F48" s="69" t="s">
        <v>41</v>
      </c>
      <c r="G48" s="69" t="s">
        <v>45</v>
      </c>
      <c r="H48" s="69" t="s">
        <v>46</v>
      </c>
      <c r="I48" s="69" t="s">
        <v>62</v>
      </c>
      <c r="J48" s="73">
        <v>14538.046</v>
      </c>
      <c r="K48" s="73"/>
      <c r="L48" s="73">
        <v>14538.046</v>
      </c>
      <c r="M48" s="66"/>
      <c r="N48" s="112"/>
      <c r="O48" s="112"/>
      <c r="P48" s="67"/>
      <c r="Q48" s="40"/>
      <c r="R48" s="7"/>
      <c r="S48" s="7"/>
      <c r="T48" s="7"/>
      <c r="U48" s="7"/>
      <c r="V48" s="7"/>
    </row>
    <row r="49" spans="1:22" s="4" customFormat="1" ht="19.5" thickBot="1" x14ac:dyDescent="0.25">
      <c r="A49" s="130" t="s">
        <v>75</v>
      </c>
      <c r="B49" s="28"/>
      <c r="C49" s="135"/>
      <c r="D49" s="135"/>
      <c r="E49" s="135"/>
      <c r="F49" s="69" t="s">
        <v>41</v>
      </c>
      <c r="G49" s="69" t="s">
        <v>45</v>
      </c>
      <c r="H49" s="69" t="s">
        <v>61</v>
      </c>
      <c r="I49" s="69" t="s">
        <v>62</v>
      </c>
      <c r="J49" s="70">
        <v>17326.72985</v>
      </c>
      <c r="K49" s="70"/>
      <c r="L49" s="70">
        <v>17326.72985</v>
      </c>
      <c r="M49" s="71"/>
      <c r="N49" s="113"/>
      <c r="O49" s="113"/>
      <c r="P49" s="72"/>
      <c r="Q49" s="41"/>
      <c r="R49" s="7"/>
      <c r="S49" s="7"/>
      <c r="T49" s="7"/>
      <c r="U49" s="7"/>
      <c r="V49" s="7"/>
    </row>
    <row r="50" spans="1:22" s="4" customFormat="1" ht="56.25" x14ac:dyDescent="0.2">
      <c r="A50" s="16" t="s">
        <v>16</v>
      </c>
      <c r="B50" s="29" t="s">
        <v>57</v>
      </c>
      <c r="C50" s="136" t="s">
        <v>124</v>
      </c>
      <c r="D50" s="137"/>
      <c r="E50" s="131">
        <f>157174.73</f>
        <v>157174.73000000001</v>
      </c>
      <c r="F50" s="25"/>
      <c r="G50" s="25"/>
      <c r="H50" s="25"/>
      <c r="I50" s="25"/>
      <c r="J50" s="55">
        <f>J52+J53</f>
        <v>12281.5748</v>
      </c>
      <c r="K50" s="55">
        <f t="shared" ref="K50" si="7">K52+K53</f>
        <v>0</v>
      </c>
      <c r="L50" s="55">
        <f>+L52+L53</f>
        <v>12281.5748</v>
      </c>
      <c r="M50" s="55"/>
      <c r="N50" s="108"/>
      <c r="O50" s="108"/>
      <c r="P50" s="56"/>
      <c r="Q50" s="36"/>
      <c r="R50" s="7"/>
      <c r="S50" s="7"/>
      <c r="T50" s="7"/>
      <c r="U50" s="7"/>
      <c r="V50" s="7"/>
    </row>
    <row r="51" spans="1:22" s="4" customFormat="1" x14ac:dyDescent="0.2">
      <c r="A51" s="19" t="s">
        <v>73</v>
      </c>
      <c r="B51" s="27"/>
      <c r="C51" s="139"/>
      <c r="D51" s="139"/>
      <c r="E51" s="139"/>
      <c r="F51" s="26"/>
      <c r="G51" s="26"/>
      <c r="H51" s="26"/>
      <c r="I51" s="26"/>
      <c r="J51" s="66"/>
      <c r="K51" s="66"/>
      <c r="L51" s="66"/>
      <c r="M51" s="66"/>
      <c r="N51" s="112"/>
      <c r="O51" s="112"/>
      <c r="P51" s="67"/>
      <c r="Q51" s="40"/>
      <c r="R51" s="7"/>
      <c r="S51" s="7"/>
      <c r="T51" s="7"/>
      <c r="U51" s="7"/>
      <c r="V51" s="7"/>
    </row>
    <row r="52" spans="1:22" s="4" customFormat="1" x14ac:dyDescent="0.2">
      <c r="A52" s="19" t="s">
        <v>74</v>
      </c>
      <c r="B52" s="27"/>
      <c r="C52" s="139"/>
      <c r="D52" s="139"/>
      <c r="E52" s="139"/>
      <c r="F52" s="69" t="s">
        <v>41</v>
      </c>
      <c r="G52" s="69" t="s">
        <v>45</v>
      </c>
      <c r="H52" s="69" t="s">
        <v>46</v>
      </c>
      <c r="I52" s="69" t="s">
        <v>63</v>
      </c>
      <c r="J52" s="73">
        <v>1281.5748000000001</v>
      </c>
      <c r="K52" s="73"/>
      <c r="L52" s="73">
        <v>1281.5748000000001</v>
      </c>
      <c r="M52" s="66"/>
      <c r="N52" s="112"/>
      <c r="O52" s="112"/>
      <c r="P52" s="67"/>
      <c r="Q52" s="40"/>
      <c r="R52" s="7"/>
      <c r="S52" s="7"/>
      <c r="T52" s="7"/>
      <c r="U52" s="7"/>
      <c r="V52" s="7"/>
    </row>
    <row r="53" spans="1:22" s="4" customFormat="1" ht="19.5" thickBot="1" x14ac:dyDescent="0.25">
      <c r="A53" s="130" t="s">
        <v>75</v>
      </c>
      <c r="B53" s="28"/>
      <c r="C53" s="135"/>
      <c r="D53" s="135"/>
      <c r="E53" s="135"/>
      <c r="F53" s="69" t="s">
        <v>41</v>
      </c>
      <c r="G53" s="69" t="s">
        <v>45</v>
      </c>
      <c r="H53" s="69" t="s">
        <v>61</v>
      </c>
      <c r="I53" s="69" t="s">
        <v>63</v>
      </c>
      <c r="J53" s="70">
        <v>11000</v>
      </c>
      <c r="K53" s="70"/>
      <c r="L53" s="70">
        <v>11000</v>
      </c>
      <c r="M53" s="71"/>
      <c r="N53" s="113"/>
      <c r="O53" s="113"/>
      <c r="P53" s="72"/>
      <c r="Q53" s="41"/>
      <c r="R53" s="7"/>
      <c r="S53" s="7"/>
      <c r="T53" s="7"/>
      <c r="U53" s="7"/>
      <c r="V53" s="7"/>
    </row>
    <row r="54" spans="1:22" s="4" customFormat="1" ht="56.25" x14ac:dyDescent="0.2">
      <c r="A54" s="16" t="s">
        <v>17</v>
      </c>
      <c r="B54" s="29" t="s">
        <v>57</v>
      </c>
      <c r="C54" s="131" t="s">
        <v>105</v>
      </c>
      <c r="D54" s="131" t="s">
        <v>87</v>
      </c>
      <c r="E54" s="132">
        <v>20745.28</v>
      </c>
      <c r="F54" s="25"/>
      <c r="G54" s="25"/>
      <c r="H54" s="25"/>
      <c r="I54" s="25"/>
      <c r="J54" s="77">
        <f>+J56+J57</f>
        <v>12559.3</v>
      </c>
      <c r="K54" s="77">
        <f t="shared" ref="K54" si="8">+K56+K57</f>
        <v>0</v>
      </c>
      <c r="L54" s="77">
        <f>+L56+L57</f>
        <v>8674.4350000000013</v>
      </c>
      <c r="M54" s="78"/>
      <c r="N54" s="114"/>
      <c r="O54" s="114"/>
      <c r="P54" s="79"/>
      <c r="Q54" s="43"/>
      <c r="R54" s="7"/>
      <c r="S54" s="7"/>
      <c r="T54" s="7"/>
      <c r="U54" s="7"/>
      <c r="V54" s="7"/>
    </row>
    <row r="55" spans="1:22" s="4" customFormat="1" ht="24" customHeight="1" x14ac:dyDescent="0.2">
      <c r="A55" s="19" t="s">
        <v>73</v>
      </c>
      <c r="B55" s="27"/>
      <c r="C55" s="133"/>
      <c r="D55" s="133"/>
      <c r="E55" s="133"/>
      <c r="F55" s="26"/>
      <c r="G55" s="26"/>
      <c r="H55" s="26"/>
      <c r="I55" s="26"/>
      <c r="J55" s="73"/>
      <c r="K55" s="73"/>
      <c r="L55" s="73"/>
      <c r="M55" s="66"/>
      <c r="N55" s="112"/>
      <c r="O55" s="112"/>
      <c r="P55" s="67"/>
      <c r="Q55" s="40"/>
      <c r="R55" s="7"/>
      <c r="S55" s="7"/>
      <c r="T55" s="7"/>
      <c r="U55" s="7"/>
      <c r="V55" s="7"/>
    </row>
    <row r="56" spans="1:22" s="4" customFormat="1" x14ac:dyDescent="0.2">
      <c r="A56" s="19" t="s">
        <v>74</v>
      </c>
      <c r="B56" s="27"/>
      <c r="C56" s="134"/>
      <c r="D56" s="134"/>
      <c r="E56" s="134"/>
      <c r="F56" s="69" t="s">
        <v>41</v>
      </c>
      <c r="G56" s="69" t="s">
        <v>64</v>
      </c>
      <c r="H56" s="69" t="s">
        <v>46</v>
      </c>
      <c r="I56" s="69" t="s">
        <v>65</v>
      </c>
      <c r="J56" s="73">
        <v>7000</v>
      </c>
      <c r="K56" s="73"/>
      <c r="L56" s="73">
        <v>3115.1350000000002</v>
      </c>
      <c r="M56" s="66"/>
      <c r="N56" s="112"/>
      <c r="O56" s="112"/>
      <c r="P56" s="67"/>
      <c r="Q56" s="40"/>
      <c r="R56" s="7"/>
      <c r="S56" s="7"/>
      <c r="T56" s="7"/>
      <c r="U56" s="7"/>
      <c r="V56" s="7"/>
    </row>
    <row r="57" spans="1:22" s="4" customFormat="1" ht="19.5" thickBot="1" x14ac:dyDescent="0.25">
      <c r="A57" s="130" t="s">
        <v>75</v>
      </c>
      <c r="B57" s="28"/>
      <c r="C57" s="135"/>
      <c r="D57" s="135"/>
      <c r="E57" s="135"/>
      <c r="F57" s="69" t="s">
        <v>41</v>
      </c>
      <c r="G57" s="69" t="s">
        <v>64</v>
      </c>
      <c r="H57" s="69" t="s">
        <v>91</v>
      </c>
      <c r="I57" s="69" t="s">
        <v>65</v>
      </c>
      <c r="J57" s="70">
        <v>5559.3</v>
      </c>
      <c r="K57" s="70"/>
      <c r="L57" s="70">
        <v>5559.3</v>
      </c>
      <c r="M57" s="71"/>
      <c r="N57" s="113"/>
      <c r="O57" s="113"/>
      <c r="P57" s="72"/>
      <c r="Q57" s="41"/>
      <c r="R57" s="7"/>
      <c r="S57" s="7"/>
      <c r="T57" s="7"/>
      <c r="U57" s="7"/>
      <c r="V57" s="7"/>
    </row>
    <row r="58" spans="1:22" s="4" customFormat="1" x14ac:dyDescent="0.2">
      <c r="A58" s="16" t="s">
        <v>95</v>
      </c>
      <c r="B58" s="30" t="s">
        <v>57</v>
      </c>
      <c r="C58" s="136" t="s">
        <v>103</v>
      </c>
      <c r="D58" s="137"/>
      <c r="E58" s="131" t="s">
        <v>103</v>
      </c>
      <c r="F58" s="25"/>
      <c r="G58" s="25"/>
      <c r="H58" s="25"/>
      <c r="I58" s="25"/>
      <c r="J58" s="77">
        <f>+J60</f>
        <v>0</v>
      </c>
      <c r="K58" s="77">
        <f t="shared" ref="K58:L58" si="9">+K60</f>
        <v>1400</v>
      </c>
      <c r="L58" s="77">
        <f t="shared" si="9"/>
        <v>1400</v>
      </c>
      <c r="M58" s="78"/>
      <c r="N58" s="114"/>
      <c r="O58" s="114"/>
      <c r="P58" s="79"/>
      <c r="Q58" s="43"/>
      <c r="R58" s="7"/>
      <c r="S58" s="7"/>
      <c r="T58" s="7"/>
      <c r="U58" s="7"/>
      <c r="V58" s="7"/>
    </row>
    <row r="59" spans="1:22" s="4" customFormat="1" x14ac:dyDescent="0.2">
      <c r="A59" s="17" t="s">
        <v>73</v>
      </c>
      <c r="B59" s="31"/>
      <c r="C59" s="138"/>
      <c r="D59" s="138"/>
      <c r="E59" s="138"/>
      <c r="F59" s="31"/>
      <c r="G59" s="31"/>
      <c r="H59" s="31"/>
      <c r="I59" s="31"/>
      <c r="J59" s="74"/>
      <c r="K59" s="74"/>
      <c r="L59" s="74"/>
      <c r="M59" s="57"/>
      <c r="N59" s="109"/>
      <c r="O59" s="109"/>
      <c r="P59" s="58"/>
      <c r="Q59" s="37"/>
      <c r="R59" s="7"/>
      <c r="S59" s="7"/>
      <c r="T59" s="7"/>
      <c r="U59" s="7"/>
      <c r="V59" s="7"/>
    </row>
    <row r="60" spans="1:22" s="4" customFormat="1" ht="21.75" customHeight="1" thickBot="1" x14ac:dyDescent="0.25">
      <c r="A60" s="17" t="s">
        <v>74</v>
      </c>
      <c r="B60" s="31"/>
      <c r="C60" s="138"/>
      <c r="D60" s="138"/>
      <c r="E60" s="138"/>
      <c r="F60" s="69" t="s">
        <v>97</v>
      </c>
      <c r="G60" s="69" t="s">
        <v>41</v>
      </c>
      <c r="H60" s="69" t="s">
        <v>46</v>
      </c>
      <c r="I60" s="69" t="s">
        <v>98</v>
      </c>
      <c r="J60" s="74"/>
      <c r="K60" s="74">
        <v>1400</v>
      </c>
      <c r="L60" s="74">
        <v>1400</v>
      </c>
      <c r="M60" s="57"/>
      <c r="N60" s="109"/>
      <c r="O60" s="109"/>
      <c r="P60" s="58"/>
      <c r="Q60" s="37"/>
      <c r="R60" s="7"/>
      <c r="S60" s="7"/>
      <c r="T60" s="7"/>
      <c r="U60" s="7"/>
      <c r="V60" s="7"/>
    </row>
    <row r="61" spans="1:22" s="4" customFormat="1" ht="61.5" customHeight="1" x14ac:dyDescent="0.2">
      <c r="A61" s="16" t="s">
        <v>28</v>
      </c>
      <c r="B61" s="29" t="s">
        <v>56</v>
      </c>
      <c r="C61" s="131" t="s">
        <v>106</v>
      </c>
      <c r="D61" s="131" t="s">
        <v>90</v>
      </c>
      <c r="E61" s="131">
        <v>11462.3</v>
      </c>
      <c r="F61" s="25"/>
      <c r="G61" s="25"/>
      <c r="H61" s="25"/>
      <c r="I61" s="25"/>
      <c r="J61" s="77">
        <f>+J64+J63</f>
        <v>11608.411530000001</v>
      </c>
      <c r="K61" s="77">
        <f t="shared" ref="K61:L61" si="10">+K64+K63</f>
        <v>-146.13999999999999</v>
      </c>
      <c r="L61" s="77">
        <f t="shared" si="10"/>
        <v>10005.311530000001</v>
      </c>
      <c r="M61" s="78"/>
      <c r="N61" s="114"/>
      <c r="O61" s="114"/>
      <c r="P61" s="79"/>
      <c r="Q61" s="43"/>
      <c r="R61" s="7"/>
      <c r="S61" s="7"/>
      <c r="T61" s="7"/>
      <c r="U61" s="7"/>
      <c r="V61" s="7"/>
    </row>
    <row r="62" spans="1:22" s="4" customFormat="1" x14ac:dyDescent="0.2">
      <c r="A62" s="19" t="s">
        <v>73</v>
      </c>
      <c r="B62" s="27"/>
      <c r="C62" s="139"/>
      <c r="D62" s="139"/>
      <c r="E62" s="139"/>
      <c r="F62" s="26"/>
      <c r="G62" s="26"/>
      <c r="H62" s="26"/>
      <c r="I62" s="26"/>
      <c r="J62" s="73"/>
      <c r="K62" s="73"/>
      <c r="L62" s="73"/>
      <c r="M62" s="66"/>
      <c r="N62" s="112"/>
      <c r="O62" s="112"/>
      <c r="P62" s="67"/>
      <c r="Q62" s="40"/>
      <c r="R62" s="7"/>
      <c r="S62" s="7"/>
      <c r="T62" s="7"/>
      <c r="U62" s="7"/>
      <c r="V62" s="7"/>
    </row>
    <row r="63" spans="1:22" s="4" customFormat="1" hidden="1" x14ac:dyDescent="0.2">
      <c r="A63" s="19" t="s">
        <v>74</v>
      </c>
      <c r="B63" s="27"/>
      <c r="C63" s="139"/>
      <c r="D63" s="139"/>
      <c r="E63" s="139"/>
      <c r="F63" s="69" t="s">
        <v>54</v>
      </c>
      <c r="G63" s="69" t="s">
        <v>42</v>
      </c>
      <c r="H63" s="69" t="s">
        <v>46</v>
      </c>
      <c r="I63" s="69" t="s">
        <v>66</v>
      </c>
      <c r="J63" s="73">
        <f>1728.1-125</f>
        <v>1603.1</v>
      </c>
      <c r="K63" s="73">
        <v>-146.13999999999999</v>
      </c>
      <c r="L63" s="73">
        <v>0</v>
      </c>
      <c r="M63" s="66"/>
      <c r="N63" s="112"/>
      <c r="O63" s="112"/>
      <c r="P63" s="67"/>
      <c r="Q63" s="40"/>
      <c r="R63" s="7"/>
      <c r="S63" s="7"/>
      <c r="T63" s="7"/>
      <c r="U63" s="7"/>
      <c r="V63" s="7"/>
    </row>
    <row r="64" spans="1:22" s="4" customFormat="1" ht="19.5" thickBot="1" x14ac:dyDescent="0.25">
      <c r="A64" s="130" t="s">
        <v>75</v>
      </c>
      <c r="B64" s="28"/>
      <c r="C64" s="135"/>
      <c r="D64" s="135"/>
      <c r="E64" s="135"/>
      <c r="F64" s="69" t="s">
        <v>54</v>
      </c>
      <c r="G64" s="69" t="s">
        <v>42</v>
      </c>
      <c r="H64" s="69" t="s">
        <v>61</v>
      </c>
      <c r="I64" s="69" t="s">
        <v>66</v>
      </c>
      <c r="J64" s="70">
        <v>10005.311530000001</v>
      </c>
      <c r="K64" s="70"/>
      <c r="L64" s="70">
        <v>10005.311530000001</v>
      </c>
      <c r="M64" s="71"/>
      <c r="N64" s="113"/>
      <c r="O64" s="113"/>
      <c r="P64" s="72"/>
      <c r="Q64" s="41"/>
      <c r="R64" s="7"/>
      <c r="S64" s="7"/>
      <c r="T64" s="7"/>
      <c r="U64" s="7"/>
      <c r="V64" s="7"/>
    </row>
    <row r="65" spans="1:22" s="4" customFormat="1" ht="30" customHeight="1" x14ac:dyDescent="0.2">
      <c r="A65" s="16" t="s">
        <v>24</v>
      </c>
      <c r="B65" s="30" t="s">
        <v>57</v>
      </c>
      <c r="C65" s="136" t="s">
        <v>103</v>
      </c>
      <c r="D65" s="137"/>
      <c r="E65" s="131" t="s">
        <v>103</v>
      </c>
      <c r="F65" s="25"/>
      <c r="G65" s="25"/>
      <c r="H65" s="25"/>
      <c r="I65" s="25"/>
      <c r="J65" s="77">
        <f>+J67+J68</f>
        <v>1276.989</v>
      </c>
      <c r="K65" s="77">
        <f t="shared" ref="K65:L65" si="11">+K67+K68</f>
        <v>0</v>
      </c>
      <c r="L65" s="77">
        <f t="shared" si="11"/>
        <v>1187.59977</v>
      </c>
      <c r="M65" s="78"/>
      <c r="N65" s="114"/>
      <c r="O65" s="114"/>
      <c r="P65" s="79"/>
      <c r="Q65" s="43"/>
      <c r="R65" s="7"/>
      <c r="S65" s="7"/>
      <c r="T65" s="7"/>
      <c r="U65" s="7"/>
      <c r="V65" s="7"/>
    </row>
    <row r="66" spans="1:22" s="4" customFormat="1" x14ac:dyDescent="0.2">
      <c r="A66" s="17" t="s">
        <v>73</v>
      </c>
      <c r="B66" s="31"/>
      <c r="C66" s="140"/>
      <c r="D66" s="138"/>
      <c r="E66" s="138"/>
      <c r="F66" s="31"/>
      <c r="G66" s="31"/>
      <c r="H66" s="31"/>
      <c r="I66" s="31"/>
      <c r="J66" s="74"/>
      <c r="K66" s="74"/>
      <c r="L66" s="74"/>
      <c r="M66" s="57"/>
      <c r="N66" s="109"/>
      <c r="O66" s="109"/>
      <c r="P66" s="58"/>
      <c r="Q66" s="37"/>
      <c r="R66" s="7"/>
      <c r="S66" s="7"/>
      <c r="T66" s="7"/>
      <c r="U66" s="7"/>
      <c r="V66" s="7"/>
    </row>
    <row r="67" spans="1:22" s="4" customFormat="1" ht="21.75" customHeight="1" x14ac:dyDescent="0.2">
      <c r="A67" s="17" t="s">
        <v>74</v>
      </c>
      <c r="B67" s="31"/>
      <c r="C67" s="140"/>
      <c r="D67" s="138"/>
      <c r="E67" s="138"/>
      <c r="F67" s="69" t="s">
        <v>54</v>
      </c>
      <c r="G67" s="69" t="s">
        <v>42</v>
      </c>
      <c r="H67" s="69" t="s">
        <v>46</v>
      </c>
      <c r="I67" s="69">
        <v>954</v>
      </c>
      <c r="J67" s="74">
        <v>1276.989</v>
      </c>
      <c r="K67" s="74"/>
      <c r="L67" s="74">
        <v>1187.59977</v>
      </c>
      <c r="M67" s="57"/>
      <c r="N67" s="109"/>
      <c r="O67" s="109"/>
      <c r="P67" s="58"/>
      <c r="Q67" s="37"/>
      <c r="R67" s="7"/>
      <c r="S67" s="7"/>
      <c r="T67" s="7"/>
      <c r="U67" s="7"/>
      <c r="V67" s="7"/>
    </row>
    <row r="68" spans="1:22" s="4" customFormat="1" ht="30" customHeight="1" thickBot="1" x14ac:dyDescent="0.25">
      <c r="A68" s="18" t="s">
        <v>75</v>
      </c>
      <c r="B68" s="32"/>
      <c r="C68" s="141"/>
      <c r="D68" s="142"/>
      <c r="E68" s="142"/>
      <c r="F68" s="32" t="s">
        <v>54</v>
      </c>
      <c r="G68" s="32" t="s">
        <v>42</v>
      </c>
      <c r="H68" s="32">
        <v>4362700</v>
      </c>
      <c r="I68" s="32">
        <v>954</v>
      </c>
      <c r="J68" s="62"/>
      <c r="K68" s="62"/>
      <c r="L68" s="70">
        <v>0</v>
      </c>
      <c r="M68" s="63"/>
      <c r="N68" s="111"/>
      <c r="O68" s="111"/>
      <c r="P68" s="64"/>
      <c r="Q68" s="39"/>
      <c r="R68" s="7"/>
      <c r="S68" s="7"/>
      <c r="T68" s="7"/>
      <c r="U68" s="7"/>
      <c r="V68" s="7"/>
    </row>
    <row r="69" spans="1:22" s="4" customFormat="1" ht="45.75" customHeight="1" x14ac:dyDescent="0.2">
      <c r="A69" s="16" t="s">
        <v>25</v>
      </c>
      <c r="B69" s="30" t="s">
        <v>57</v>
      </c>
      <c r="C69" s="136" t="s">
        <v>103</v>
      </c>
      <c r="D69" s="137"/>
      <c r="E69" s="131" t="s">
        <v>103</v>
      </c>
      <c r="F69" s="25"/>
      <c r="G69" s="25"/>
      <c r="H69" s="25"/>
      <c r="I69" s="25"/>
      <c r="J69" s="77">
        <f>+J71+J73</f>
        <v>1276.989</v>
      </c>
      <c r="K69" s="77">
        <f t="shared" ref="K69" si="12">+K71+K73</f>
        <v>0</v>
      </c>
      <c r="L69" s="77">
        <f>+L71+L73+L72</f>
        <v>72433.653879999998</v>
      </c>
      <c r="M69" s="78"/>
      <c r="N69" s="114"/>
      <c r="O69" s="114"/>
      <c r="P69" s="79"/>
      <c r="Q69" s="43"/>
      <c r="R69" s="7"/>
      <c r="S69" s="7"/>
      <c r="T69" s="7"/>
      <c r="U69" s="7"/>
      <c r="V69" s="7"/>
    </row>
    <row r="70" spans="1:22" s="4" customFormat="1" ht="22.5" customHeight="1" x14ac:dyDescent="0.2">
      <c r="A70" s="17" t="s">
        <v>73</v>
      </c>
      <c r="B70" s="31"/>
      <c r="C70" s="138"/>
      <c r="D70" s="138"/>
      <c r="E70" s="138"/>
      <c r="F70" s="31"/>
      <c r="G70" s="31"/>
      <c r="H70" s="31"/>
      <c r="I70" s="31"/>
      <c r="J70" s="74"/>
      <c r="K70" s="74"/>
      <c r="L70" s="74"/>
      <c r="M70" s="57"/>
      <c r="N70" s="109"/>
      <c r="O70" s="109"/>
      <c r="P70" s="58"/>
      <c r="Q70" s="37"/>
      <c r="R70" s="7"/>
      <c r="S70" s="7"/>
      <c r="T70" s="7"/>
      <c r="U70" s="7"/>
      <c r="V70" s="7"/>
    </row>
    <row r="71" spans="1:22" s="4" customFormat="1" ht="21.75" customHeight="1" x14ac:dyDescent="0.2">
      <c r="A71" s="17" t="s">
        <v>74</v>
      </c>
      <c r="B71" s="31"/>
      <c r="C71" s="138"/>
      <c r="D71" s="138"/>
      <c r="E71" s="138"/>
      <c r="F71" s="69" t="s">
        <v>54</v>
      </c>
      <c r="G71" s="69" t="s">
        <v>42</v>
      </c>
      <c r="H71" s="69" t="s">
        <v>46</v>
      </c>
      <c r="I71" s="69">
        <v>955</v>
      </c>
      <c r="J71" s="74">
        <v>1276.989</v>
      </c>
      <c r="K71" s="74"/>
      <c r="L71" s="73">
        <v>1187.59977</v>
      </c>
      <c r="M71" s="57"/>
      <c r="N71" s="109"/>
      <c r="O71" s="109"/>
      <c r="P71" s="58"/>
      <c r="Q71" s="37"/>
      <c r="R71" s="7"/>
      <c r="S71" s="7"/>
      <c r="T71" s="7"/>
      <c r="U71" s="7"/>
      <c r="V71" s="7"/>
    </row>
    <row r="72" spans="1:22" s="4" customFormat="1" ht="21.75" customHeight="1" x14ac:dyDescent="0.2">
      <c r="A72" s="270" t="s">
        <v>75</v>
      </c>
      <c r="B72" s="59"/>
      <c r="C72" s="145"/>
      <c r="D72" s="145"/>
      <c r="E72" s="145"/>
      <c r="F72" s="156" t="s">
        <v>54</v>
      </c>
      <c r="G72" s="156" t="s">
        <v>42</v>
      </c>
      <c r="H72" s="156" t="s">
        <v>129</v>
      </c>
      <c r="I72" s="156" t="s">
        <v>130</v>
      </c>
      <c r="J72" s="157"/>
      <c r="K72" s="157"/>
      <c r="L72" s="154">
        <v>39264.154110000003</v>
      </c>
      <c r="M72" s="60"/>
      <c r="N72" s="110"/>
      <c r="O72" s="110"/>
      <c r="P72" s="61"/>
      <c r="Q72" s="38"/>
      <c r="R72" s="7"/>
      <c r="S72" s="7"/>
      <c r="T72" s="7"/>
      <c r="U72" s="7"/>
      <c r="V72" s="7"/>
    </row>
    <row r="73" spans="1:22" s="4" customFormat="1" ht="24.75" customHeight="1" thickBot="1" x14ac:dyDescent="0.25">
      <c r="A73" s="271"/>
      <c r="B73" s="32"/>
      <c r="C73" s="142"/>
      <c r="D73" s="142"/>
      <c r="E73" s="142"/>
      <c r="F73" s="32" t="s">
        <v>54</v>
      </c>
      <c r="G73" s="32" t="s">
        <v>42</v>
      </c>
      <c r="H73" s="32">
        <v>4362700</v>
      </c>
      <c r="I73" s="32">
        <v>955</v>
      </c>
      <c r="J73" s="62"/>
      <c r="K73" s="62"/>
      <c r="L73" s="62">
        <v>31981.899999999994</v>
      </c>
      <c r="M73" s="63"/>
      <c r="N73" s="111"/>
      <c r="O73" s="111"/>
      <c r="P73" s="64"/>
      <c r="Q73" s="39"/>
      <c r="R73" s="7"/>
      <c r="S73" s="7"/>
      <c r="T73" s="7"/>
      <c r="U73" s="7"/>
      <c r="V73" s="7"/>
    </row>
    <row r="74" spans="1:22" s="4" customFormat="1" ht="56.25" x14ac:dyDescent="0.2">
      <c r="A74" s="16" t="s">
        <v>127</v>
      </c>
      <c r="B74" s="30" t="s">
        <v>57</v>
      </c>
      <c r="C74" s="136" t="s">
        <v>131</v>
      </c>
      <c r="D74" s="136"/>
      <c r="E74" s="136" t="s">
        <v>131</v>
      </c>
      <c r="F74" s="25"/>
      <c r="G74" s="25"/>
      <c r="H74" s="25"/>
      <c r="I74" s="25"/>
      <c r="J74" s="155"/>
      <c r="K74" s="155"/>
      <c r="L74" s="77">
        <f>+L76</f>
        <v>41000</v>
      </c>
      <c r="M74" s="55"/>
      <c r="N74" s="55"/>
      <c r="O74" s="55"/>
      <c r="P74" s="56"/>
      <c r="Q74" s="42"/>
      <c r="R74" s="7"/>
      <c r="S74" s="7"/>
      <c r="T74" s="7"/>
      <c r="U74" s="7"/>
      <c r="V74" s="7"/>
    </row>
    <row r="75" spans="1:22" s="4" customFormat="1" ht="24.75" customHeight="1" x14ac:dyDescent="0.2">
      <c r="A75" s="17" t="s">
        <v>23</v>
      </c>
      <c r="B75" s="31"/>
      <c r="C75" s="138"/>
      <c r="D75" s="138"/>
      <c r="E75" s="138"/>
      <c r="F75" s="31"/>
      <c r="G75" s="31"/>
      <c r="H75" s="31"/>
      <c r="I75" s="31"/>
      <c r="J75" s="74"/>
      <c r="K75" s="74"/>
      <c r="L75" s="74"/>
      <c r="M75" s="57"/>
      <c r="N75" s="57"/>
      <c r="O75" s="57"/>
      <c r="P75" s="58"/>
      <c r="Q75" s="42"/>
      <c r="R75" s="7"/>
      <c r="S75" s="7"/>
      <c r="T75" s="7"/>
      <c r="U75" s="7"/>
      <c r="V75" s="7"/>
    </row>
    <row r="76" spans="1:22" s="4" customFormat="1" ht="24.75" customHeight="1" thickBot="1" x14ac:dyDescent="0.25">
      <c r="A76" s="18" t="s">
        <v>128</v>
      </c>
      <c r="B76" s="32"/>
      <c r="C76" s="142"/>
      <c r="D76" s="142"/>
      <c r="E76" s="142"/>
      <c r="F76" s="32" t="s">
        <v>54</v>
      </c>
      <c r="G76" s="32" t="s">
        <v>42</v>
      </c>
      <c r="H76" s="32" t="s">
        <v>46</v>
      </c>
      <c r="I76" s="32">
        <v>959</v>
      </c>
      <c r="J76" s="62"/>
      <c r="K76" s="62"/>
      <c r="L76" s="62">
        <v>41000</v>
      </c>
      <c r="M76" s="63"/>
      <c r="N76" s="63"/>
      <c r="O76" s="63"/>
      <c r="P76" s="64"/>
      <c r="Q76" s="42"/>
      <c r="R76" s="7"/>
      <c r="S76" s="7"/>
      <c r="T76" s="7"/>
      <c r="U76" s="7"/>
      <c r="V76" s="7"/>
    </row>
    <row r="77" spans="1:22" s="4" customFormat="1" ht="63.75" customHeight="1" x14ac:dyDescent="0.2">
      <c r="A77" s="16" t="s">
        <v>19</v>
      </c>
      <c r="B77" s="29" t="s">
        <v>56</v>
      </c>
      <c r="C77" s="131" t="s">
        <v>107</v>
      </c>
      <c r="D77" s="131" t="s">
        <v>88</v>
      </c>
      <c r="E77" s="131">
        <v>78610.41</v>
      </c>
      <c r="F77" s="25"/>
      <c r="G77" s="25"/>
      <c r="H77" s="25"/>
      <c r="I77" s="25"/>
      <c r="J77" s="77">
        <f>+J79+J81</f>
        <v>69165.028999999995</v>
      </c>
      <c r="K77" s="77">
        <f t="shared" ref="K77" si="13">+K79+K81</f>
        <v>751.69948999999997</v>
      </c>
      <c r="L77" s="77">
        <v>78966.790489999999</v>
      </c>
      <c r="M77" s="78"/>
      <c r="N77" s="114"/>
      <c r="O77" s="114"/>
      <c r="P77" s="79"/>
      <c r="Q77" s="43"/>
      <c r="R77" s="7"/>
      <c r="S77" s="7"/>
      <c r="T77" s="7"/>
      <c r="U77" s="7"/>
      <c r="V77" s="7"/>
    </row>
    <row r="78" spans="1:22" s="4" customFormat="1" ht="18.75" customHeight="1" x14ac:dyDescent="0.2">
      <c r="A78" s="19" t="s">
        <v>73</v>
      </c>
      <c r="B78" s="27"/>
      <c r="C78" s="139"/>
      <c r="D78" s="139"/>
      <c r="E78" s="139"/>
      <c r="F78" s="26"/>
      <c r="G78" s="26"/>
      <c r="H78" s="26"/>
      <c r="I78" s="26"/>
      <c r="J78" s="73"/>
      <c r="K78" s="73"/>
      <c r="L78" s="73"/>
      <c r="M78" s="66"/>
      <c r="N78" s="112"/>
      <c r="O78" s="112"/>
      <c r="P78" s="67"/>
      <c r="Q78" s="40"/>
      <c r="R78" s="7"/>
      <c r="S78" s="7"/>
      <c r="T78" s="7"/>
      <c r="U78" s="7"/>
      <c r="V78" s="7"/>
    </row>
    <row r="79" spans="1:22" s="4" customFormat="1" ht="18" customHeight="1" x14ac:dyDescent="0.2">
      <c r="A79" s="19" t="s">
        <v>74</v>
      </c>
      <c r="B79" s="27"/>
      <c r="C79" s="139"/>
      <c r="D79" s="139"/>
      <c r="E79" s="139"/>
      <c r="F79" s="69" t="s">
        <v>67</v>
      </c>
      <c r="G79" s="69" t="s">
        <v>45</v>
      </c>
      <c r="H79" s="69" t="s">
        <v>46</v>
      </c>
      <c r="I79" s="69" t="s">
        <v>68</v>
      </c>
      <c r="J79" s="73">
        <v>31294.13</v>
      </c>
      <c r="K79" s="73">
        <v>751.69948999999997</v>
      </c>
      <c r="L79" s="73">
        <v>28800.891490000002</v>
      </c>
      <c r="M79" s="66"/>
      <c r="N79" s="112"/>
      <c r="O79" s="112"/>
      <c r="P79" s="67"/>
      <c r="Q79" s="40"/>
      <c r="R79" s="7"/>
      <c r="S79" s="7"/>
      <c r="T79" s="7"/>
      <c r="U79" s="7"/>
      <c r="V79" s="7"/>
    </row>
    <row r="80" spans="1:22" s="4" customFormat="1" ht="18" customHeight="1" x14ac:dyDescent="0.2">
      <c r="A80" s="270" t="s">
        <v>75</v>
      </c>
      <c r="B80" s="127"/>
      <c r="C80" s="133"/>
      <c r="D80" s="133"/>
      <c r="E80" s="133"/>
      <c r="F80" s="69" t="s">
        <v>67</v>
      </c>
      <c r="G80" s="69" t="s">
        <v>45</v>
      </c>
      <c r="H80" s="69" t="s">
        <v>61</v>
      </c>
      <c r="I80" s="69" t="s">
        <v>68</v>
      </c>
      <c r="J80" s="74">
        <v>37870.898999999998</v>
      </c>
      <c r="K80" s="74"/>
      <c r="L80" s="74">
        <v>37870.898999999998</v>
      </c>
      <c r="M80" s="57"/>
      <c r="N80" s="109"/>
      <c r="O80" s="109"/>
      <c r="P80" s="58"/>
      <c r="Q80" s="42"/>
      <c r="R80" s="7"/>
      <c r="S80" s="7"/>
      <c r="T80" s="7"/>
      <c r="U80" s="7"/>
      <c r="V80" s="7"/>
    </row>
    <row r="81" spans="1:22" s="4" customFormat="1" ht="21" customHeight="1" thickBot="1" x14ac:dyDescent="0.25">
      <c r="A81" s="271"/>
      <c r="B81" s="28"/>
      <c r="C81" s="135"/>
      <c r="D81" s="135"/>
      <c r="E81" s="135"/>
      <c r="F81" s="128" t="s">
        <v>67</v>
      </c>
      <c r="G81" s="128" t="s">
        <v>45</v>
      </c>
      <c r="H81" s="128" t="s">
        <v>120</v>
      </c>
      <c r="I81" s="128" t="s">
        <v>68</v>
      </c>
      <c r="J81" s="70">
        <v>37870.898999999998</v>
      </c>
      <c r="K81" s="70"/>
      <c r="L81" s="70">
        <v>12295</v>
      </c>
      <c r="M81" s="71"/>
      <c r="N81" s="113"/>
      <c r="O81" s="113"/>
      <c r="P81" s="72"/>
      <c r="Q81" s="41"/>
      <c r="R81" s="7"/>
      <c r="S81" s="7"/>
      <c r="T81" s="7"/>
      <c r="U81" s="7"/>
      <c r="V81" s="7"/>
    </row>
    <row r="82" spans="1:22" s="4" customFormat="1" ht="75" x14ac:dyDescent="0.2">
      <c r="A82" s="16" t="s">
        <v>20</v>
      </c>
      <c r="B82" s="29" t="s">
        <v>53</v>
      </c>
      <c r="C82" s="131" t="s">
        <v>108</v>
      </c>
      <c r="D82" s="131" t="s">
        <v>89</v>
      </c>
      <c r="E82" s="131">
        <v>247579.08</v>
      </c>
      <c r="F82" s="25"/>
      <c r="G82" s="25"/>
      <c r="H82" s="25"/>
      <c r="I82" s="25"/>
      <c r="J82" s="77">
        <f>+J84+J85+J86</f>
        <v>72848.9899</v>
      </c>
      <c r="K82" s="77">
        <f t="shared" ref="K82" si="14">+K84+K85+K86</f>
        <v>0</v>
      </c>
      <c r="L82" s="77">
        <v>172848.98989999999</v>
      </c>
      <c r="M82" s="78"/>
      <c r="N82" s="114"/>
      <c r="O82" s="114"/>
      <c r="P82" s="79"/>
      <c r="Q82" s="43"/>
      <c r="R82" s="7"/>
      <c r="S82" s="7"/>
      <c r="T82" s="7"/>
      <c r="U82" s="7"/>
      <c r="V82" s="7"/>
    </row>
    <row r="83" spans="1:22" s="4" customFormat="1" x14ac:dyDescent="0.2">
      <c r="A83" s="19" t="s">
        <v>73</v>
      </c>
      <c r="B83" s="27"/>
      <c r="C83" s="139"/>
      <c r="D83" s="139"/>
      <c r="E83" s="139"/>
      <c r="F83" s="26"/>
      <c r="G83" s="26"/>
      <c r="H83" s="26"/>
      <c r="I83" s="26"/>
      <c r="J83" s="73"/>
      <c r="K83" s="73"/>
      <c r="L83" s="73"/>
      <c r="M83" s="66"/>
      <c r="N83" s="112"/>
      <c r="O83" s="112"/>
      <c r="P83" s="67"/>
      <c r="Q83" s="40"/>
      <c r="R83" s="7"/>
      <c r="S83" s="7"/>
      <c r="T83" s="7"/>
      <c r="U83" s="7"/>
      <c r="V83" s="7"/>
    </row>
    <row r="84" spans="1:22" s="4" customFormat="1" ht="21.75" customHeight="1" x14ac:dyDescent="0.2">
      <c r="A84" s="19" t="s">
        <v>74</v>
      </c>
      <c r="B84" s="27"/>
      <c r="C84" s="139"/>
      <c r="D84" s="139"/>
      <c r="E84" s="139"/>
      <c r="F84" s="69" t="s">
        <v>67</v>
      </c>
      <c r="G84" s="69" t="s">
        <v>45</v>
      </c>
      <c r="H84" s="69" t="s">
        <v>46</v>
      </c>
      <c r="I84" s="69" t="s">
        <v>69</v>
      </c>
      <c r="J84" s="73">
        <v>26440</v>
      </c>
      <c r="K84" s="73"/>
      <c r="L84" s="73">
        <v>26440</v>
      </c>
      <c r="M84" s="66"/>
      <c r="N84" s="112"/>
      <c r="O84" s="112"/>
      <c r="P84" s="67"/>
      <c r="Q84" s="40"/>
      <c r="R84" s="7"/>
      <c r="S84" s="7"/>
      <c r="T84" s="7"/>
      <c r="U84" s="7"/>
      <c r="V84" s="7"/>
    </row>
    <row r="85" spans="1:22" s="4" customFormat="1" ht="19.5" thickBot="1" x14ac:dyDescent="0.25">
      <c r="A85" s="270" t="s">
        <v>75</v>
      </c>
      <c r="B85" s="34"/>
      <c r="C85" s="138"/>
      <c r="D85" s="138"/>
      <c r="E85" s="138"/>
      <c r="F85" s="69" t="s">
        <v>67</v>
      </c>
      <c r="G85" s="69" t="s">
        <v>45</v>
      </c>
      <c r="H85" s="69" t="s">
        <v>61</v>
      </c>
      <c r="I85" s="69" t="s">
        <v>69</v>
      </c>
      <c r="J85" s="74">
        <v>34478.201099999998</v>
      </c>
      <c r="K85" s="74"/>
      <c r="L85" s="74">
        <v>34478.201099999998</v>
      </c>
      <c r="M85" s="57"/>
      <c r="N85" s="109"/>
      <c r="O85" s="109"/>
      <c r="P85" s="58"/>
      <c r="Q85" s="41"/>
      <c r="R85" s="7"/>
      <c r="S85" s="7"/>
      <c r="T85" s="7"/>
      <c r="U85" s="7"/>
      <c r="V85" s="7"/>
    </row>
    <row r="86" spans="1:22" s="4" customFormat="1" ht="19.5" thickBot="1" x14ac:dyDescent="0.25">
      <c r="A86" s="271"/>
      <c r="B86" s="28"/>
      <c r="C86" s="135"/>
      <c r="D86" s="135"/>
      <c r="E86" s="135"/>
      <c r="F86" s="76" t="s">
        <v>67</v>
      </c>
      <c r="G86" s="76" t="s">
        <v>45</v>
      </c>
      <c r="H86" s="76" t="s">
        <v>78</v>
      </c>
      <c r="I86" s="76" t="s">
        <v>69</v>
      </c>
      <c r="J86" s="70">
        <v>11930.7888</v>
      </c>
      <c r="K86" s="70"/>
      <c r="L86" s="70">
        <v>111930.78879999999</v>
      </c>
      <c r="M86" s="71"/>
      <c r="N86" s="113"/>
      <c r="O86" s="113"/>
      <c r="P86" s="72"/>
      <c r="Q86" s="41"/>
      <c r="R86" s="7"/>
      <c r="S86" s="7"/>
      <c r="T86" s="7"/>
      <c r="U86" s="7"/>
      <c r="V86" s="7"/>
    </row>
    <row r="87" spans="1:22" s="4" customFormat="1" ht="38.25" thickBot="1" x14ac:dyDescent="0.25">
      <c r="A87" s="20" t="s">
        <v>79</v>
      </c>
      <c r="B87" s="80"/>
      <c r="C87" s="143"/>
      <c r="D87" s="143"/>
      <c r="E87" s="143"/>
      <c r="F87" s="12"/>
      <c r="G87" s="12"/>
      <c r="H87" s="12"/>
      <c r="I87" s="12"/>
      <c r="J87" s="81"/>
      <c r="K87" s="81"/>
      <c r="L87" s="81"/>
      <c r="M87" s="82"/>
      <c r="N87" s="115"/>
      <c r="O87" s="115"/>
      <c r="P87" s="83"/>
      <c r="Q87" s="44"/>
      <c r="R87" s="7"/>
      <c r="S87" s="7"/>
      <c r="T87" s="7"/>
      <c r="U87" s="7"/>
      <c r="V87" s="7"/>
    </row>
    <row r="88" spans="1:22" s="4" customFormat="1" ht="56.25" x14ac:dyDescent="0.2">
      <c r="A88" s="16" t="s">
        <v>12</v>
      </c>
      <c r="B88" s="30" t="s">
        <v>58</v>
      </c>
      <c r="C88" s="144" t="s">
        <v>109</v>
      </c>
      <c r="D88" s="144">
        <f>12483.354+347.53+8511.45</f>
        <v>21342.334000000003</v>
      </c>
      <c r="E88" s="144">
        <f>12483.354+347.53+8511.45</f>
        <v>21342.334000000003</v>
      </c>
      <c r="F88" s="85"/>
      <c r="G88" s="26"/>
      <c r="H88" s="26"/>
      <c r="I88" s="26"/>
      <c r="J88" s="77">
        <f>+J90</f>
        <v>17375.317520000001</v>
      </c>
      <c r="K88" s="77">
        <f t="shared" ref="K88" si="15">+K90</f>
        <v>0</v>
      </c>
      <c r="L88" s="77">
        <v>13247.367090000002</v>
      </c>
      <c r="M88" s="77">
        <f>+M90</f>
        <v>12944.1</v>
      </c>
      <c r="N88" s="77">
        <f t="shared" ref="N88:O88" si="16">+N90</f>
        <v>0</v>
      </c>
      <c r="O88" s="77">
        <f t="shared" si="16"/>
        <v>12944.1</v>
      </c>
      <c r="P88" s="86">
        <f>+P90</f>
        <v>28447.3</v>
      </c>
      <c r="Q88" s="43"/>
      <c r="R88" s="7"/>
      <c r="S88" s="7"/>
      <c r="T88" s="7"/>
      <c r="U88" s="7"/>
      <c r="V88" s="7"/>
    </row>
    <row r="89" spans="1:22" s="4" customFormat="1" x14ac:dyDescent="0.2">
      <c r="A89" s="17" t="s">
        <v>73</v>
      </c>
      <c r="B89" s="31"/>
      <c r="C89" s="145"/>
      <c r="D89" s="145"/>
      <c r="E89" s="138"/>
      <c r="F89" s="31"/>
      <c r="G89" s="31"/>
      <c r="H89" s="31"/>
      <c r="I89" s="31"/>
      <c r="J89" s="74"/>
      <c r="K89" s="74"/>
      <c r="L89" s="74"/>
      <c r="M89" s="57"/>
      <c r="N89" s="109"/>
      <c r="O89" s="109"/>
      <c r="P89" s="58"/>
      <c r="Q89" s="37"/>
      <c r="T89" s="7"/>
      <c r="U89" s="7"/>
      <c r="V89" s="7"/>
    </row>
    <row r="90" spans="1:22" s="4" customFormat="1" ht="19.5" thickBot="1" x14ac:dyDescent="0.25">
      <c r="A90" s="18" t="s">
        <v>74</v>
      </c>
      <c r="B90" s="32"/>
      <c r="C90" s="146"/>
      <c r="D90" s="146"/>
      <c r="E90" s="146"/>
      <c r="F90" s="75" t="s">
        <v>41</v>
      </c>
      <c r="G90" s="75" t="s">
        <v>45</v>
      </c>
      <c r="H90" s="75" t="s">
        <v>46</v>
      </c>
      <c r="I90" s="75" t="s">
        <v>47</v>
      </c>
      <c r="J90" s="62">
        <v>17375.317520000001</v>
      </c>
      <c r="K90" s="62"/>
      <c r="L90" s="62">
        <v>13247.367090000002</v>
      </c>
      <c r="M90" s="62">
        <v>12944.1</v>
      </c>
      <c r="N90" s="116"/>
      <c r="O90" s="116">
        <v>12944.1</v>
      </c>
      <c r="P90" s="87">
        <v>28447.3</v>
      </c>
      <c r="Q90" s="39"/>
      <c r="T90" s="7"/>
      <c r="U90" s="7"/>
      <c r="V90" s="7"/>
    </row>
    <row r="91" spans="1:22" s="4" customFormat="1" ht="56.25" x14ac:dyDescent="0.2">
      <c r="A91" s="16" t="s">
        <v>14</v>
      </c>
      <c r="B91" s="88" t="s">
        <v>53</v>
      </c>
      <c r="C91" s="147" t="s">
        <v>110</v>
      </c>
      <c r="D91" s="144">
        <v>1560.557</v>
      </c>
      <c r="E91" s="136">
        <v>1560.557</v>
      </c>
      <c r="F91" s="25"/>
      <c r="G91" s="25"/>
      <c r="H91" s="25"/>
      <c r="I91" s="25"/>
      <c r="J91" s="77">
        <f>+J93</f>
        <v>1347.60355</v>
      </c>
      <c r="K91" s="77">
        <f t="shared" ref="K91" si="17">+K93</f>
        <v>0</v>
      </c>
      <c r="L91" s="77">
        <v>485.49986000000001</v>
      </c>
      <c r="M91" s="78"/>
      <c r="N91" s="114"/>
      <c r="O91" s="114"/>
      <c r="P91" s="79"/>
      <c r="Q91" s="43"/>
    </row>
    <row r="92" spans="1:22" s="4" customFormat="1" x14ac:dyDescent="0.2">
      <c r="A92" s="17" t="s">
        <v>73</v>
      </c>
      <c r="B92" s="31"/>
      <c r="C92" s="138"/>
      <c r="D92" s="144"/>
      <c r="E92" s="138"/>
      <c r="F92" s="31"/>
      <c r="G92" s="31"/>
      <c r="H92" s="31"/>
      <c r="I92" s="31"/>
      <c r="J92" s="74"/>
      <c r="K92" s="74"/>
      <c r="L92" s="74"/>
      <c r="M92" s="57"/>
      <c r="N92" s="109"/>
      <c r="O92" s="109"/>
      <c r="P92" s="58"/>
      <c r="Q92" s="37"/>
    </row>
    <row r="93" spans="1:22" s="4" customFormat="1" ht="19.5" thickBot="1" x14ac:dyDescent="0.25">
      <c r="A93" s="18" t="s">
        <v>74</v>
      </c>
      <c r="B93" s="32"/>
      <c r="C93" s="146"/>
      <c r="D93" s="141"/>
      <c r="E93" s="146"/>
      <c r="F93" s="75" t="s">
        <v>48</v>
      </c>
      <c r="G93" s="75" t="s">
        <v>49</v>
      </c>
      <c r="H93" s="75" t="s">
        <v>50</v>
      </c>
      <c r="I93" s="75" t="s">
        <v>52</v>
      </c>
      <c r="J93" s="62">
        <v>1347.60355</v>
      </c>
      <c r="K93" s="62"/>
      <c r="L93" s="62">
        <v>485.49986000000001</v>
      </c>
      <c r="M93" s="63"/>
      <c r="N93" s="111"/>
      <c r="O93" s="111"/>
      <c r="P93" s="64"/>
      <c r="Q93" s="39"/>
    </row>
    <row r="94" spans="1:22" s="4" customFormat="1" ht="56.25" x14ac:dyDescent="0.2">
      <c r="A94" s="24" t="s">
        <v>13</v>
      </c>
      <c r="B94" s="88" t="s">
        <v>53</v>
      </c>
      <c r="C94" s="144" t="s">
        <v>119</v>
      </c>
      <c r="D94" s="144">
        <v>412.12826000000001</v>
      </c>
      <c r="E94" s="144">
        <v>487.9</v>
      </c>
      <c r="F94" s="88"/>
      <c r="G94" s="88"/>
      <c r="H94" s="88"/>
      <c r="I94" s="88"/>
      <c r="J94" s="89">
        <f>+J96</f>
        <v>490</v>
      </c>
      <c r="K94" s="89">
        <f t="shared" ref="K94" si="18">+K96</f>
        <v>-2.0606399999999998</v>
      </c>
      <c r="L94" s="89">
        <v>1347.60355</v>
      </c>
      <c r="M94" s="84"/>
      <c r="N94" s="117"/>
      <c r="O94" s="117"/>
      <c r="P94" s="90"/>
      <c r="Q94" s="45"/>
    </row>
    <row r="95" spans="1:22" s="4" customFormat="1" x14ac:dyDescent="0.2">
      <c r="A95" s="17" t="s">
        <v>73</v>
      </c>
      <c r="B95" s="91"/>
      <c r="C95" s="140"/>
      <c r="D95" s="140"/>
      <c r="E95" s="140"/>
      <c r="F95" s="91"/>
      <c r="G95" s="91"/>
      <c r="H95" s="91"/>
      <c r="I95" s="91"/>
      <c r="J95" s="92"/>
      <c r="K95" s="92"/>
      <c r="L95" s="92"/>
      <c r="M95" s="93"/>
      <c r="N95" s="118"/>
      <c r="O95" s="118"/>
      <c r="P95" s="94"/>
      <c r="Q95" s="46"/>
    </row>
    <row r="96" spans="1:22" s="4" customFormat="1" ht="19.5" thickBot="1" x14ac:dyDescent="0.25">
      <c r="A96" s="18" t="s">
        <v>74</v>
      </c>
      <c r="B96" s="95"/>
      <c r="C96" s="146"/>
      <c r="D96" s="146"/>
      <c r="E96" s="146"/>
      <c r="F96" s="75" t="s">
        <v>48</v>
      </c>
      <c r="G96" s="75" t="s">
        <v>49</v>
      </c>
      <c r="H96" s="75" t="s">
        <v>50</v>
      </c>
      <c r="I96" s="75" t="s">
        <v>51</v>
      </c>
      <c r="J96" s="62">
        <v>490</v>
      </c>
      <c r="K96" s="62">
        <v>-2.0606399999999998</v>
      </c>
      <c r="L96" s="62">
        <v>1347.60355</v>
      </c>
      <c r="M96" s="96"/>
      <c r="N96" s="119"/>
      <c r="O96" s="119"/>
      <c r="P96" s="97"/>
      <c r="Q96" s="47"/>
    </row>
    <row r="97" spans="1:22" s="4" customFormat="1" ht="19.5" thickBot="1" x14ac:dyDescent="0.25">
      <c r="A97" s="20" t="s">
        <v>80</v>
      </c>
      <c r="B97" s="98"/>
      <c r="C97" s="148"/>
      <c r="D97" s="143"/>
      <c r="E97" s="148"/>
      <c r="F97" s="99"/>
      <c r="G97" s="99"/>
      <c r="H97" s="99"/>
      <c r="I97" s="99"/>
      <c r="J97" s="100"/>
      <c r="K97" s="100"/>
      <c r="L97" s="100"/>
      <c r="M97" s="101"/>
      <c r="N97" s="120"/>
      <c r="O97" s="120"/>
      <c r="P97" s="102"/>
      <c r="Q97" s="48"/>
      <c r="T97" s="7"/>
      <c r="U97" s="7"/>
      <c r="V97" s="7"/>
    </row>
    <row r="98" spans="1:22" s="4" customFormat="1" ht="56.25" x14ac:dyDescent="0.2">
      <c r="A98" s="24" t="s">
        <v>18</v>
      </c>
      <c r="B98" s="88" t="s">
        <v>53</v>
      </c>
      <c r="C98" s="144" t="s">
        <v>111</v>
      </c>
      <c r="D98" s="144">
        <v>13410.42</v>
      </c>
      <c r="E98" s="144">
        <v>13070.119420000001</v>
      </c>
      <c r="F98" s="26"/>
      <c r="G98" s="26"/>
      <c r="H98" s="26"/>
      <c r="I98" s="26"/>
      <c r="J98" s="89">
        <f>+J100</f>
        <v>9426.3479199999983</v>
      </c>
      <c r="K98" s="89">
        <f t="shared" ref="K98" si="19">+K100</f>
        <v>0</v>
      </c>
      <c r="L98" s="89"/>
      <c r="M98" s="66"/>
      <c r="N98" s="112"/>
      <c r="O98" s="112"/>
      <c r="P98" s="67"/>
      <c r="Q98" s="43"/>
      <c r="R98" s="7"/>
      <c r="S98" s="7"/>
      <c r="T98" s="7"/>
      <c r="U98" s="7"/>
      <c r="V98" s="7"/>
    </row>
    <row r="99" spans="1:22" s="4" customFormat="1" x14ac:dyDescent="0.2">
      <c r="A99" s="17" t="s">
        <v>73</v>
      </c>
      <c r="B99" s="31"/>
      <c r="C99" s="138"/>
      <c r="D99" s="138"/>
      <c r="E99" s="138"/>
      <c r="F99" s="31"/>
      <c r="G99" s="31"/>
      <c r="H99" s="31"/>
      <c r="I99" s="31"/>
      <c r="J99" s="74"/>
      <c r="K99" s="74"/>
      <c r="L99" s="74">
        <v>0</v>
      </c>
      <c r="M99" s="57"/>
      <c r="N99" s="109"/>
      <c r="O99" s="109"/>
      <c r="P99" s="58"/>
      <c r="Q99" s="37"/>
      <c r="R99" s="7"/>
      <c r="S99" s="7"/>
      <c r="T99" s="7"/>
      <c r="U99" s="7"/>
      <c r="V99" s="7"/>
    </row>
    <row r="100" spans="1:22" s="4" customFormat="1" ht="19.5" thickBot="1" x14ac:dyDescent="0.25">
      <c r="A100" s="18" t="s">
        <v>74</v>
      </c>
      <c r="B100" s="32"/>
      <c r="C100" s="146"/>
      <c r="D100" s="146"/>
      <c r="E100" s="146"/>
      <c r="F100" s="75" t="s">
        <v>54</v>
      </c>
      <c r="G100" s="75" t="s">
        <v>45</v>
      </c>
      <c r="H100" s="75" t="s">
        <v>46</v>
      </c>
      <c r="I100" s="75" t="s">
        <v>55</v>
      </c>
      <c r="J100" s="62">
        <f>9286.75392+139.594</f>
        <v>9426.3479199999983</v>
      </c>
      <c r="K100" s="62"/>
      <c r="L100" s="62"/>
      <c r="M100" s="63"/>
      <c r="N100" s="111"/>
      <c r="O100" s="111"/>
      <c r="P100" s="64"/>
      <c r="Q100" s="39"/>
      <c r="R100" s="7"/>
      <c r="S100" s="7"/>
      <c r="T100" s="7"/>
      <c r="U100" s="7"/>
      <c r="V100" s="7"/>
    </row>
    <row r="101" spans="1:22" s="4" customFormat="1" x14ac:dyDescent="0.2">
      <c r="A101" s="16" t="s">
        <v>29</v>
      </c>
      <c r="B101" s="103"/>
      <c r="C101" s="137"/>
      <c r="D101" s="137"/>
      <c r="E101" s="137"/>
      <c r="F101" s="25"/>
      <c r="G101" s="25"/>
      <c r="H101" s="25"/>
      <c r="I101" s="25"/>
      <c r="J101" s="55" t="e">
        <f>SUM(J103:J104)</f>
        <v>#REF!</v>
      </c>
      <c r="K101" s="55" t="e">
        <f t="shared" ref="K101" si="20">SUM(K103:K104)</f>
        <v>#REF!</v>
      </c>
      <c r="L101" s="55">
        <f t="shared" ref="L101:P101" si="21">SUM(L103:L104)</f>
        <v>536447.25936999999</v>
      </c>
      <c r="M101" s="55">
        <f t="shared" si="21"/>
        <v>63762.189999999995</v>
      </c>
      <c r="N101" s="55">
        <f t="shared" si="21"/>
        <v>-10000</v>
      </c>
      <c r="O101" s="55">
        <f t="shared" si="21"/>
        <v>53762.189999999995</v>
      </c>
      <c r="P101" s="56">
        <f t="shared" si="21"/>
        <v>28447.3</v>
      </c>
      <c r="Q101" s="49"/>
      <c r="R101" s="7"/>
      <c r="S101" s="7"/>
      <c r="T101" s="7"/>
      <c r="U101" s="7"/>
      <c r="V101" s="7"/>
    </row>
    <row r="102" spans="1:22" s="4" customFormat="1" ht="18.75" customHeight="1" x14ac:dyDescent="0.2">
      <c r="A102" s="19" t="s">
        <v>73</v>
      </c>
      <c r="B102" s="27"/>
      <c r="C102" s="139"/>
      <c r="D102" s="139"/>
      <c r="E102" s="139"/>
      <c r="F102" s="26"/>
      <c r="G102" s="26"/>
      <c r="H102" s="26"/>
      <c r="I102" s="26"/>
      <c r="J102" s="66"/>
      <c r="K102" s="66"/>
      <c r="L102" s="66"/>
      <c r="M102" s="66"/>
      <c r="N102" s="66"/>
      <c r="O102" s="66"/>
      <c r="P102" s="67"/>
      <c r="Q102" s="50"/>
      <c r="R102" s="7"/>
      <c r="S102" s="7"/>
      <c r="T102" s="7"/>
      <c r="U102" s="7"/>
      <c r="V102" s="7"/>
    </row>
    <row r="103" spans="1:22" s="4" customFormat="1" x14ac:dyDescent="0.2">
      <c r="A103" s="19" t="s">
        <v>74</v>
      </c>
      <c r="B103" s="27"/>
      <c r="C103" s="139"/>
      <c r="D103" s="139"/>
      <c r="E103" s="139"/>
      <c r="F103" s="26"/>
      <c r="G103" s="26"/>
      <c r="H103" s="26"/>
      <c r="I103" s="26"/>
      <c r="J103" s="66" t="e">
        <f>J24+J27+J30+J39+#REF!+J43+J48+J52+J56+J63+J67+J71+J79+J84+J90+J96+J93+J100+J60+J36+J33</f>
        <v>#REF!</v>
      </c>
      <c r="K103" s="66" t="e">
        <f>K24+K27+K30+K39+#REF!+K43+K48+K52+K56+K63+K67+K71+K79+K84+K90+K96+K93+K100+K60+K36+K33</f>
        <v>#REF!</v>
      </c>
      <c r="L103" s="66">
        <f>L24+L27+L30+L39+L43+L48+L52+L56+L67+L71+L79+L84+L90+L96+L93+L100+L60+L36+L33+L76</f>
        <v>148497.67733000001</v>
      </c>
      <c r="M103" s="66">
        <f t="shared" ref="M103:P103" si="22">M24+M27+M30+M39+M43+M48+M52+M56+M67+M71+M79+M84+M90+M96+M93+M100+M60+M36+M33+M76</f>
        <v>63762.189999999995</v>
      </c>
      <c r="N103" s="66">
        <f t="shared" si="22"/>
        <v>-10000</v>
      </c>
      <c r="O103" s="66">
        <f t="shared" si="22"/>
        <v>53762.189999999995</v>
      </c>
      <c r="P103" s="66">
        <f t="shared" si="22"/>
        <v>28447.3</v>
      </c>
      <c r="Q103" s="50"/>
      <c r="R103" s="7"/>
      <c r="S103" s="7"/>
      <c r="T103" s="7"/>
      <c r="U103" s="7"/>
      <c r="V103" s="7"/>
    </row>
    <row r="104" spans="1:22" s="4" customFormat="1" ht="19.5" thickBot="1" x14ac:dyDescent="0.25">
      <c r="A104" s="130" t="s">
        <v>75</v>
      </c>
      <c r="B104" s="28"/>
      <c r="C104" s="52"/>
      <c r="D104" s="52"/>
      <c r="E104" s="52"/>
      <c r="F104" s="52"/>
      <c r="G104" s="52"/>
      <c r="H104" s="52"/>
      <c r="I104" s="52"/>
      <c r="J104" s="71">
        <f>J21+J44+J45+J49+J53+J64+J81+J85+J86+J57</f>
        <v>192848.16793000003</v>
      </c>
      <c r="K104" s="71">
        <f>K21+K44+K45+K49+K53+K64+K81+K85+K86+K57</f>
        <v>0</v>
      </c>
      <c r="L104" s="71">
        <f>L21+L44+L45+L49+L53+L64+L81+L85+L86+L57+L73+L68+L80+L72</f>
        <v>387949.58204000001</v>
      </c>
      <c r="M104" s="71">
        <f t="shared" ref="M104:P104" si="23">M21+M44+M45+M49+M53+M64+M81+M85+M86+M57+M73+M68+M80+M72</f>
        <v>0</v>
      </c>
      <c r="N104" s="71">
        <f t="shared" si="23"/>
        <v>0</v>
      </c>
      <c r="O104" s="71">
        <f t="shared" si="23"/>
        <v>0</v>
      </c>
      <c r="P104" s="71">
        <f t="shared" si="23"/>
        <v>0</v>
      </c>
      <c r="Q104" s="51"/>
      <c r="R104" s="7"/>
      <c r="S104" s="7"/>
      <c r="T104" s="7"/>
      <c r="U104" s="7"/>
      <c r="V104" s="7"/>
    </row>
    <row r="105" spans="1:22" s="23" customFormat="1" x14ac:dyDescent="0.2">
      <c r="A105" s="21"/>
      <c r="B105" s="21"/>
      <c r="C105" s="7"/>
      <c r="D105" s="7"/>
      <c r="E105" s="7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2"/>
      <c r="S105" s="22"/>
      <c r="T105" s="22"/>
      <c r="U105" s="22"/>
      <c r="V105" s="22"/>
    </row>
    <row r="106" spans="1:22" x14ac:dyDescent="0.2">
      <c r="A106" s="1" t="s">
        <v>112</v>
      </c>
    </row>
    <row r="107" spans="1:22" x14ac:dyDescent="0.2">
      <c r="A107" s="1" t="s">
        <v>113</v>
      </c>
      <c r="F107" s="1" t="s">
        <v>121</v>
      </c>
    </row>
    <row r="109" spans="1:22" x14ac:dyDescent="0.2">
      <c r="A109" s="1" t="s">
        <v>112</v>
      </c>
    </row>
    <row r="110" spans="1:22" x14ac:dyDescent="0.2">
      <c r="A110" s="1" t="s">
        <v>114</v>
      </c>
      <c r="F110" s="1" t="s">
        <v>122</v>
      </c>
    </row>
    <row r="112" spans="1:22" x14ac:dyDescent="0.2">
      <c r="A112" s="1" t="s">
        <v>112</v>
      </c>
    </row>
    <row r="113" spans="1:6" x14ac:dyDescent="0.2">
      <c r="A113" s="1" t="s">
        <v>115</v>
      </c>
      <c r="F113" s="1" t="s">
        <v>123</v>
      </c>
    </row>
  </sheetData>
  <mergeCells count="19">
    <mergeCell ref="A44:A45"/>
    <mergeCell ref="A85:A86"/>
    <mergeCell ref="D13:D15"/>
    <mergeCell ref="P14:P15"/>
    <mergeCell ref="O14:O15"/>
    <mergeCell ref="L14:L15"/>
    <mergeCell ref="A80:A81"/>
    <mergeCell ref="A72:A73"/>
    <mergeCell ref="A10:Q10"/>
    <mergeCell ref="A9:Q9"/>
    <mergeCell ref="A13:A15"/>
    <mergeCell ref="B13:B15"/>
    <mergeCell ref="C13:C15"/>
    <mergeCell ref="E13:E15"/>
    <mergeCell ref="F13:F15"/>
    <mergeCell ref="G13:G15"/>
    <mergeCell ref="H13:H15"/>
    <mergeCell ref="I13:I15"/>
    <mergeCell ref="J13:P13"/>
  </mergeCells>
  <phoneticPr fontId="2" type="noConversion"/>
  <pageMargins left="0.70866141732283472" right="0.70866141732283472" top="0.59055118110236227" bottom="0.59055118110236227" header="0.31496062992125984" footer="0.31496062992125984"/>
  <pageSetup paperSize="9" scale="4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76"/>
  <sheetViews>
    <sheetView tabSelected="1" view="pageBreakPreview" zoomScale="60" zoomScaleNormal="100" workbookViewId="0">
      <selection activeCell="C3" sqref="C3"/>
    </sheetView>
  </sheetViews>
  <sheetFormatPr defaultColWidth="9.140625" defaultRowHeight="18.75" x14ac:dyDescent="0.2"/>
  <cols>
    <col min="1" max="1" width="7.42578125" style="2" customWidth="1"/>
    <col min="2" max="2" width="91.85546875" style="1" customWidth="1"/>
    <col min="3" max="3" width="15.28515625" style="1" customWidth="1"/>
    <col min="4" max="4" width="16" style="1" customWidth="1"/>
    <col min="5" max="5" width="5.85546875" style="1" hidden="1" customWidth="1"/>
    <col min="6" max="6" width="16.7109375" style="1" hidden="1" customWidth="1"/>
    <col min="7" max="7" width="21.85546875" style="1" hidden="1" customWidth="1"/>
    <col min="8" max="8" width="21.42578125" style="1" hidden="1" customWidth="1"/>
    <col min="9" max="9" width="16.7109375" style="1" hidden="1" customWidth="1"/>
    <col min="10" max="10" width="24" style="1" hidden="1" customWidth="1"/>
    <col min="11" max="11" width="21.42578125" style="1" hidden="1" customWidth="1"/>
    <col min="12" max="12" width="24" style="1" customWidth="1"/>
    <col min="13" max="14" width="14.42578125" style="2" bestFit="1" customWidth="1"/>
    <col min="15" max="16384" width="9.140625" style="2"/>
  </cols>
  <sheetData>
    <row r="1" spans="1:35" s="9" customFormat="1" x14ac:dyDescent="0.2">
      <c r="B1" s="165"/>
      <c r="C1" s="159" t="s">
        <v>150</v>
      </c>
      <c r="E1" s="165"/>
      <c r="F1" s="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59"/>
      <c r="AB1" s="159"/>
      <c r="AC1" s="159"/>
      <c r="AD1" s="159"/>
    </row>
    <row r="2" spans="1:35" s="9" customFormat="1" x14ac:dyDescent="0.2">
      <c r="B2" s="165"/>
      <c r="C2" s="159" t="s">
        <v>151</v>
      </c>
      <c r="E2" s="165"/>
      <c r="F2" s="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59"/>
      <c r="AB2" s="159"/>
      <c r="AC2" s="159"/>
      <c r="AD2" s="159"/>
    </row>
    <row r="3" spans="1:35" s="9" customFormat="1" ht="51" customHeight="1" x14ac:dyDescent="0.3">
      <c r="B3" s="165"/>
      <c r="C3" s="159" t="s">
        <v>175</v>
      </c>
      <c r="E3" s="165"/>
      <c r="F3" s="160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</row>
    <row r="4" spans="1:35" s="9" customFormat="1" x14ac:dyDescent="0.2">
      <c r="B4" s="165"/>
      <c r="C4" s="165"/>
      <c r="D4" s="165"/>
      <c r="E4" s="165"/>
      <c r="F4" s="5"/>
      <c r="G4" s="165"/>
      <c r="H4" s="165"/>
      <c r="I4" s="5"/>
      <c r="J4" s="165"/>
      <c r="K4" s="165"/>
      <c r="L4" s="165"/>
    </row>
    <row r="5" spans="1:35" s="9" customFormat="1" ht="3.75" customHeight="1" x14ac:dyDescent="0.3">
      <c r="B5" s="165"/>
      <c r="C5" s="165"/>
      <c r="D5" s="165"/>
      <c r="E5" s="165"/>
      <c r="F5" s="6" t="s">
        <v>146</v>
      </c>
      <c r="G5" s="165"/>
      <c r="H5" s="165"/>
      <c r="I5" s="6" t="s">
        <v>146</v>
      </c>
      <c r="J5" s="165"/>
      <c r="K5" s="165"/>
      <c r="L5" s="165"/>
    </row>
    <row r="6" spans="1:35" s="9" customFormat="1" x14ac:dyDescent="0.2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35" s="9" customFormat="1" ht="56.25" customHeight="1" x14ac:dyDescent="0.2">
      <c r="A7" s="280" t="s">
        <v>149</v>
      </c>
      <c r="B7" s="280"/>
      <c r="C7" s="280"/>
      <c r="D7" s="280"/>
      <c r="E7" s="280"/>
      <c r="F7" s="280"/>
      <c r="G7" s="280"/>
      <c r="H7" s="280"/>
      <c r="I7" s="280"/>
      <c r="J7" s="280"/>
      <c r="K7" s="281"/>
      <c r="L7" s="281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</row>
    <row r="9" spans="1:35" ht="15" customHeight="1" thickBot="1" x14ac:dyDescent="0.25">
      <c r="G9" s="11"/>
      <c r="H9" s="167" t="s">
        <v>0</v>
      </c>
      <c r="J9" s="167" t="s">
        <v>0</v>
      </c>
      <c r="K9" s="167" t="s">
        <v>0</v>
      </c>
      <c r="L9" s="167" t="s">
        <v>0</v>
      </c>
    </row>
    <row r="10" spans="1:35" s="4" customFormat="1" ht="72" customHeight="1" thickBot="1" x14ac:dyDescent="0.25">
      <c r="A10" s="242" t="s">
        <v>156</v>
      </c>
      <c r="B10" s="243" t="s">
        <v>154</v>
      </c>
      <c r="C10" s="243" t="s">
        <v>152</v>
      </c>
      <c r="D10" s="243" t="s">
        <v>153</v>
      </c>
      <c r="E10" s="244" t="s">
        <v>136</v>
      </c>
      <c r="F10" s="243" t="s">
        <v>144</v>
      </c>
      <c r="G10" s="243" t="s">
        <v>155</v>
      </c>
      <c r="H10" s="243" t="s">
        <v>145</v>
      </c>
      <c r="I10" s="243" t="s">
        <v>144</v>
      </c>
      <c r="J10" s="245" t="s">
        <v>155</v>
      </c>
      <c r="K10" s="168" t="s">
        <v>145</v>
      </c>
      <c r="L10" s="245" t="s">
        <v>155</v>
      </c>
    </row>
    <row r="11" spans="1:35" s="4" customFormat="1" ht="16.5" customHeight="1" thickBot="1" x14ac:dyDescent="0.25">
      <c r="A11" s="252">
        <v>1</v>
      </c>
      <c r="B11" s="253">
        <v>2</v>
      </c>
      <c r="C11" s="253">
        <v>3</v>
      </c>
      <c r="D11" s="253">
        <v>4</v>
      </c>
      <c r="E11" s="253">
        <v>8</v>
      </c>
      <c r="F11" s="253">
        <v>9</v>
      </c>
      <c r="G11" s="253">
        <v>5</v>
      </c>
      <c r="H11" s="253">
        <v>11</v>
      </c>
      <c r="I11" s="253">
        <v>9</v>
      </c>
      <c r="J11" s="254">
        <v>5</v>
      </c>
      <c r="K11" s="169">
        <v>11</v>
      </c>
      <c r="L11" s="254">
        <v>5</v>
      </c>
    </row>
    <row r="12" spans="1:35" s="171" customFormat="1" ht="19.5" thickBot="1" x14ac:dyDescent="0.25">
      <c r="A12" s="246">
        <v>1</v>
      </c>
      <c r="B12" s="247" t="s">
        <v>157</v>
      </c>
      <c r="C12" s="248" t="s">
        <v>35</v>
      </c>
      <c r="D12" s="248"/>
      <c r="E12" s="249"/>
      <c r="F12" s="250">
        <f>+F15+F18+F22+F26+F30+F34+F38+F58+F61</f>
        <v>235959.85496000003</v>
      </c>
      <c r="G12" s="250">
        <f>G13</f>
        <v>76029.463990000004</v>
      </c>
      <c r="H12" s="250">
        <f>+H15+H18+H22+H26+H30+H34+H38+H58+H61</f>
        <v>1338.0909699999986</v>
      </c>
      <c r="I12" s="250">
        <f>ROUND(F12,1)</f>
        <v>235959.9</v>
      </c>
      <c r="J12" s="251">
        <f>J13</f>
        <v>76029.399999999994</v>
      </c>
      <c r="K12" s="170">
        <f>+K15+K18+K22+K26+K30+K34+K38+K58+K61</f>
        <v>1338.199999999995</v>
      </c>
      <c r="L12" s="251">
        <f>L13</f>
        <v>76029.463990000004</v>
      </c>
    </row>
    <row r="13" spans="1:35" s="171" customFormat="1" ht="19.5" thickBot="1" x14ac:dyDescent="0.25">
      <c r="A13" s="172" t="s">
        <v>158</v>
      </c>
      <c r="B13" s="173" t="s">
        <v>159</v>
      </c>
      <c r="C13" s="174" t="s">
        <v>35</v>
      </c>
      <c r="D13" s="174" t="s">
        <v>36</v>
      </c>
      <c r="E13" s="175"/>
      <c r="F13" s="176"/>
      <c r="G13" s="176">
        <f>G15+G18+G22+G26+G38+G30+G34</f>
        <v>76029.463990000004</v>
      </c>
      <c r="H13" s="176">
        <f t="shared" ref="H13:J13" si="0">H15+H18+H22+H26+H38+H30+H34</f>
        <v>1338.0909699999984</v>
      </c>
      <c r="I13" s="176">
        <f t="shared" si="0"/>
        <v>77367.600000000006</v>
      </c>
      <c r="J13" s="177">
        <f t="shared" si="0"/>
        <v>76029.399999999994</v>
      </c>
      <c r="K13" s="178"/>
      <c r="L13" s="177">
        <f t="shared" ref="L13" si="1">L15+L18+L22+L26+L38+L30+L34</f>
        <v>76029.463990000004</v>
      </c>
    </row>
    <row r="14" spans="1:35" s="171" customFormat="1" ht="19.5" thickBot="1" x14ac:dyDescent="0.25">
      <c r="A14" s="172"/>
      <c r="B14" s="173" t="s">
        <v>160</v>
      </c>
      <c r="C14" s="174"/>
      <c r="D14" s="174"/>
      <c r="E14" s="175"/>
      <c r="F14" s="176"/>
      <c r="G14" s="176"/>
      <c r="H14" s="176"/>
      <c r="I14" s="176"/>
      <c r="J14" s="177"/>
      <c r="K14" s="178"/>
      <c r="L14" s="177"/>
    </row>
    <row r="15" spans="1:35" s="187" customFormat="1" ht="38.25" thickBot="1" x14ac:dyDescent="0.25">
      <c r="A15" s="179"/>
      <c r="B15" s="180" t="s">
        <v>138</v>
      </c>
      <c r="C15" s="181"/>
      <c r="D15" s="181"/>
      <c r="E15" s="182"/>
      <c r="F15" s="183">
        <f>F17</f>
        <v>52426.6</v>
      </c>
      <c r="G15" s="183">
        <f>G17</f>
        <v>52409.332920000001</v>
      </c>
      <c r="H15" s="183">
        <f>H17</f>
        <v>17.267079999997804</v>
      </c>
      <c r="I15" s="183">
        <f t="shared" ref="I15:I68" si="2">ROUND(F15,1)</f>
        <v>52426.6</v>
      </c>
      <c r="J15" s="184">
        <f>ROUND(G15,1)</f>
        <v>52409.3</v>
      </c>
      <c r="K15" s="185">
        <f>K17</f>
        <v>17.299999999995634</v>
      </c>
      <c r="L15" s="184">
        <v>52409.332920000001</v>
      </c>
      <c r="M15" s="186"/>
      <c r="N15" s="186"/>
    </row>
    <row r="16" spans="1:35" s="187" customFormat="1" ht="19.5" hidden="1" thickBot="1" x14ac:dyDescent="0.25">
      <c r="A16" s="188"/>
      <c r="B16" s="189" t="s">
        <v>73</v>
      </c>
      <c r="C16" s="181"/>
      <c r="D16" s="181"/>
      <c r="E16" s="182"/>
      <c r="F16" s="183"/>
      <c r="G16" s="183"/>
      <c r="H16" s="183"/>
      <c r="I16" s="183"/>
      <c r="J16" s="184"/>
      <c r="K16" s="190"/>
      <c r="L16" s="184"/>
      <c r="M16" s="186"/>
      <c r="N16" s="186"/>
    </row>
    <row r="17" spans="1:14" s="187" customFormat="1" ht="19.5" hidden="1" thickBot="1" x14ac:dyDescent="0.25">
      <c r="A17" s="179"/>
      <c r="B17" s="180" t="s">
        <v>74</v>
      </c>
      <c r="C17" s="191" t="s">
        <v>35</v>
      </c>
      <c r="D17" s="191" t="s">
        <v>36</v>
      </c>
      <c r="E17" s="181" t="s">
        <v>132</v>
      </c>
      <c r="F17" s="192">
        <f>53112.6-686</f>
        <v>52426.6</v>
      </c>
      <c r="G17" s="183">
        <v>52409.332920000001</v>
      </c>
      <c r="H17" s="183">
        <f>F17-G17</f>
        <v>17.267079999997804</v>
      </c>
      <c r="I17" s="192">
        <f t="shared" si="2"/>
        <v>52426.6</v>
      </c>
      <c r="J17" s="184">
        <f>ROUND(G17,1)</f>
        <v>52409.3</v>
      </c>
      <c r="K17" s="193">
        <f>I17-J17</f>
        <v>17.299999999995634</v>
      </c>
      <c r="L17" s="184">
        <f>ROUND(I17,1)</f>
        <v>52426.6</v>
      </c>
      <c r="M17" s="186"/>
      <c r="N17" s="186"/>
    </row>
    <row r="18" spans="1:14" s="187" customFormat="1" ht="38.25" thickBot="1" x14ac:dyDescent="0.25">
      <c r="A18" s="179"/>
      <c r="B18" s="180" t="s">
        <v>139</v>
      </c>
      <c r="C18" s="181"/>
      <c r="D18" s="181"/>
      <c r="E18" s="182"/>
      <c r="F18" s="183">
        <f>F21+F20</f>
        <v>2951</v>
      </c>
      <c r="G18" s="183">
        <f t="shared" ref="G18:H18" si="3">G21+G20</f>
        <v>2378.67985</v>
      </c>
      <c r="H18" s="183">
        <f t="shared" si="3"/>
        <v>572.3201499999999</v>
      </c>
      <c r="I18" s="183">
        <f t="shared" si="2"/>
        <v>2951</v>
      </c>
      <c r="J18" s="184">
        <f>ROUND(G18,1)</f>
        <v>2378.6999999999998</v>
      </c>
      <c r="K18" s="185">
        <f t="shared" ref="K18" si="4">K21+K20</f>
        <v>572.30000000000007</v>
      </c>
      <c r="L18" s="184">
        <v>2378.67985</v>
      </c>
      <c r="M18" s="186"/>
      <c r="N18" s="186"/>
    </row>
    <row r="19" spans="1:14" s="187" customFormat="1" ht="19.5" hidden="1" thickBot="1" x14ac:dyDescent="0.25">
      <c r="A19" s="188"/>
      <c r="B19" s="189" t="s">
        <v>73</v>
      </c>
      <c r="C19" s="181"/>
      <c r="D19" s="181"/>
      <c r="E19" s="182"/>
      <c r="F19" s="183"/>
      <c r="G19" s="183"/>
      <c r="H19" s="183"/>
      <c r="I19" s="183"/>
      <c r="J19" s="184"/>
      <c r="K19" s="190"/>
      <c r="L19" s="184"/>
      <c r="M19" s="186"/>
      <c r="N19" s="186"/>
    </row>
    <row r="20" spans="1:14" s="187" customFormat="1" ht="19.5" hidden="1" thickBot="1" x14ac:dyDescent="0.25">
      <c r="A20" s="179"/>
      <c r="B20" s="180" t="s">
        <v>74</v>
      </c>
      <c r="C20" s="181" t="s">
        <v>35</v>
      </c>
      <c r="D20" s="181" t="s">
        <v>36</v>
      </c>
      <c r="E20" s="181" t="s">
        <v>132</v>
      </c>
      <c r="F20" s="192">
        <v>1285.8</v>
      </c>
      <c r="G20" s="183">
        <v>713.60396000000003</v>
      </c>
      <c r="H20" s="183">
        <f>+F20-G20</f>
        <v>572.19603999999993</v>
      </c>
      <c r="I20" s="192">
        <f t="shared" si="2"/>
        <v>1285.8</v>
      </c>
      <c r="J20" s="184">
        <f>ROUND(G20,1)</f>
        <v>713.6</v>
      </c>
      <c r="K20" s="190">
        <f>+I20-J20</f>
        <v>572.19999999999993</v>
      </c>
      <c r="L20" s="184">
        <f>ROUND(I20,1)</f>
        <v>1285.8</v>
      </c>
      <c r="M20" s="186"/>
      <c r="N20" s="186"/>
    </row>
    <row r="21" spans="1:14" s="187" customFormat="1" ht="19.5" hidden="1" thickBot="1" x14ac:dyDescent="0.25">
      <c r="A21" s="179"/>
      <c r="B21" s="180" t="s">
        <v>75</v>
      </c>
      <c r="C21" s="181" t="s">
        <v>35</v>
      </c>
      <c r="D21" s="181" t="s">
        <v>36</v>
      </c>
      <c r="E21" s="181" t="s">
        <v>132</v>
      </c>
      <c r="F21" s="192">
        <f>3000-1334.8</f>
        <v>1665.2</v>
      </c>
      <c r="G21" s="183">
        <v>1665.0758900000001</v>
      </c>
      <c r="H21" s="183">
        <f>+F21-G21</f>
        <v>0.1241099999999733</v>
      </c>
      <c r="I21" s="192">
        <f t="shared" si="2"/>
        <v>1665.2</v>
      </c>
      <c r="J21" s="184">
        <f>ROUND(G21,1)</f>
        <v>1665.1</v>
      </c>
      <c r="K21" s="190">
        <f>+I21-J21</f>
        <v>0.10000000000013642</v>
      </c>
      <c r="L21" s="184">
        <f>ROUND(I21,1)</f>
        <v>1665.2</v>
      </c>
      <c r="M21" s="186"/>
      <c r="N21" s="186"/>
    </row>
    <row r="22" spans="1:14" s="187" customFormat="1" ht="19.5" thickBot="1" x14ac:dyDescent="0.25">
      <c r="A22" s="179"/>
      <c r="B22" s="180" t="s">
        <v>140</v>
      </c>
      <c r="C22" s="181"/>
      <c r="D22" s="181"/>
      <c r="E22" s="182"/>
      <c r="F22" s="192">
        <f>F25+F24</f>
        <v>2419</v>
      </c>
      <c r="G22" s="192">
        <f t="shared" ref="G22:H22" si="5">G25+G24</f>
        <v>2333.3587000000002</v>
      </c>
      <c r="H22" s="192">
        <f t="shared" si="5"/>
        <v>85.641299999999717</v>
      </c>
      <c r="I22" s="192">
        <f t="shared" si="2"/>
        <v>2419</v>
      </c>
      <c r="J22" s="194">
        <f>ROUND(G22,1)-0.1</f>
        <v>2333.3000000000002</v>
      </c>
      <c r="K22" s="195">
        <f t="shared" ref="K22" si="6">K25+K24</f>
        <v>85.699999999999818</v>
      </c>
      <c r="L22" s="194">
        <v>2333.3587000000002</v>
      </c>
      <c r="M22" s="186"/>
      <c r="N22" s="186"/>
    </row>
    <row r="23" spans="1:14" s="187" customFormat="1" ht="19.5" hidden="1" thickBot="1" x14ac:dyDescent="0.25">
      <c r="A23" s="188"/>
      <c r="B23" s="189" t="s">
        <v>73</v>
      </c>
      <c r="C23" s="181"/>
      <c r="D23" s="181"/>
      <c r="E23" s="182"/>
      <c r="F23" s="192"/>
      <c r="G23" s="183"/>
      <c r="H23" s="183"/>
      <c r="I23" s="192"/>
      <c r="J23" s="184"/>
      <c r="K23" s="190"/>
      <c r="L23" s="184"/>
      <c r="M23" s="186"/>
      <c r="N23" s="186"/>
    </row>
    <row r="24" spans="1:14" s="187" customFormat="1" ht="19.5" hidden="1" thickBot="1" x14ac:dyDescent="0.25">
      <c r="A24" s="179"/>
      <c r="B24" s="180" t="s">
        <v>74</v>
      </c>
      <c r="C24" s="181" t="s">
        <v>35</v>
      </c>
      <c r="D24" s="181" t="s">
        <v>36</v>
      </c>
      <c r="E24" s="181" t="s">
        <v>132</v>
      </c>
      <c r="F24" s="192">
        <v>360.8</v>
      </c>
      <c r="G24" s="183">
        <v>275.33632999999998</v>
      </c>
      <c r="H24" s="183">
        <f>+F24-G24</f>
        <v>85.463670000000036</v>
      </c>
      <c r="I24" s="192">
        <f t="shared" si="2"/>
        <v>360.8</v>
      </c>
      <c r="J24" s="184">
        <f>ROUND(G24,1)</f>
        <v>275.3</v>
      </c>
      <c r="K24" s="190">
        <f>+I24-J24</f>
        <v>85.5</v>
      </c>
      <c r="L24" s="184">
        <f>ROUND(I24,1)</f>
        <v>360.8</v>
      </c>
      <c r="M24" s="186"/>
      <c r="N24" s="186"/>
    </row>
    <row r="25" spans="1:14" s="187" customFormat="1" ht="19.5" hidden="1" thickBot="1" x14ac:dyDescent="0.25">
      <c r="A25" s="179"/>
      <c r="B25" s="180" t="s">
        <v>75</v>
      </c>
      <c r="C25" s="181" t="s">
        <v>35</v>
      </c>
      <c r="D25" s="181" t="s">
        <v>36</v>
      </c>
      <c r="E25" s="181" t="s">
        <v>132</v>
      </c>
      <c r="F25" s="192">
        <f>2705.9-647.7</f>
        <v>2058.1999999999998</v>
      </c>
      <c r="G25" s="183">
        <v>2058.0223700000001</v>
      </c>
      <c r="H25" s="183">
        <f>+F25-G25</f>
        <v>0.17762999999968088</v>
      </c>
      <c r="I25" s="192">
        <f t="shared" si="2"/>
        <v>2058.1999999999998</v>
      </c>
      <c r="J25" s="184">
        <f>ROUND(G25,1)</f>
        <v>2058</v>
      </c>
      <c r="K25" s="193">
        <f>+I25-J25</f>
        <v>0.1999999999998181</v>
      </c>
      <c r="L25" s="184">
        <f>ROUND(I25,1)</f>
        <v>2058.1999999999998</v>
      </c>
      <c r="M25" s="186"/>
      <c r="N25" s="186"/>
    </row>
    <row r="26" spans="1:14" s="187" customFormat="1" ht="45" customHeight="1" thickBot="1" x14ac:dyDescent="0.25">
      <c r="A26" s="179"/>
      <c r="B26" s="180" t="s">
        <v>141</v>
      </c>
      <c r="C26" s="181"/>
      <c r="D26" s="181"/>
      <c r="E26" s="182"/>
      <c r="F26" s="192">
        <f>+F28+F29</f>
        <v>6292.3</v>
      </c>
      <c r="G26" s="192">
        <f t="shared" ref="G26:H26" si="7">+G28+G29</f>
        <v>6058.0165999999999</v>
      </c>
      <c r="H26" s="192">
        <f t="shared" si="7"/>
        <v>234.28339999999992</v>
      </c>
      <c r="I26" s="192">
        <f t="shared" si="2"/>
        <v>6292.3</v>
      </c>
      <c r="J26" s="194">
        <f>ROUND(G26,1)</f>
        <v>6058</v>
      </c>
      <c r="K26" s="195">
        <f t="shared" ref="K26" si="8">+K28+K29</f>
        <v>234.30000000000041</v>
      </c>
      <c r="L26" s="194">
        <v>6058.0165999999999</v>
      </c>
      <c r="M26" s="186"/>
      <c r="N26" s="186"/>
    </row>
    <row r="27" spans="1:14" s="187" customFormat="1" ht="19.5" hidden="1" thickBot="1" x14ac:dyDescent="0.25">
      <c r="A27" s="188"/>
      <c r="B27" s="189" t="s">
        <v>73</v>
      </c>
      <c r="C27" s="181"/>
      <c r="D27" s="181"/>
      <c r="E27" s="182"/>
      <c r="F27" s="192"/>
      <c r="G27" s="183"/>
      <c r="H27" s="183"/>
      <c r="I27" s="192"/>
      <c r="J27" s="184"/>
      <c r="K27" s="190"/>
      <c r="L27" s="184"/>
      <c r="M27" s="186"/>
      <c r="N27" s="186"/>
    </row>
    <row r="28" spans="1:14" s="187" customFormat="1" ht="19.5" hidden="1" thickBot="1" x14ac:dyDescent="0.25">
      <c r="A28" s="179"/>
      <c r="B28" s="180" t="s">
        <v>74</v>
      </c>
      <c r="C28" s="181" t="s">
        <v>35</v>
      </c>
      <c r="D28" s="181" t="s">
        <v>36</v>
      </c>
      <c r="E28" s="181" t="s">
        <v>132</v>
      </c>
      <c r="F28" s="192">
        <v>949</v>
      </c>
      <c r="G28" s="183">
        <v>714.84595999999999</v>
      </c>
      <c r="H28" s="183">
        <f>+F28-G28</f>
        <v>234.15404000000001</v>
      </c>
      <c r="I28" s="192">
        <f t="shared" si="2"/>
        <v>949</v>
      </c>
      <c r="J28" s="184">
        <f>ROUND(G28,1)</f>
        <v>714.8</v>
      </c>
      <c r="K28" s="190">
        <f>+I28-J28</f>
        <v>234.20000000000005</v>
      </c>
      <c r="L28" s="184">
        <f>ROUND(I28,1)</f>
        <v>949</v>
      </c>
      <c r="M28" s="186"/>
      <c r="N28" s="186"/>
    </row>
    <row r="29" spans="1:14" s="187" customFormat="1" ht="19.5" hidden="1" thickBot="1" x14ac:dyDescent="0.25">
      <c r="A29" s="179"/>
      <c r="B29" s="180" t="s">
        <v>75</v>
      </c>
      <c r="C29" s="181" t="s">
        <v>35</v>
      </c>
      <c r="D29" s="181" t="s">
        <v>36</v>
      </c>
      <c r="E29" s="181" t="s">
        <v>132</v>
      </c>
      <c r="F29" s="192">
        <f>7117.6-1774.3</f>
        <v>5343.3</v>
      </c>
      <c r="G29" s="183">
        <v>5343.1706400000003</v>
      </c>
      <c r="H29" s="183">
        <f>+F29-G29</f>
        <v>0.12935999999990599</v>
      </c>
      <c r="I29" s="192">
        <f t="shared" si="2"/>
        <v>5343.3</v>
      </c>
      <c r="J29" s="184">
        <f>ROUND(G29,1)</f>
        <v>5343.2</v>
      </c>
      <c r="K29" s="193">
        <f>+I29-J29</f>
        <v>0.1000000000003638</v>
      </c>
      <c r="L29" s="184">
        <f>ROUND(I29,1)</f>
        <v>5343.3</v>
      </c>
      <c r="M29" s="186"/>
      <c r="N29" s="186"/>
    </row>
    <row r="30" spans="1:14" s="187" customFormat="1" ht="38.25" thickBot="1" x14ac:dyDescent="0.25">
      <c r="A30" s="179"/>
      <c r="B30" s="180" t="s">
        <v>142</v>
      </c>
      <c r="C30" s="181"/>
      <c r="D30" s="181"/>
      <c r="E30" s="182"/>
      <c r="F30" s="192">
        <f>+F32+F33</f>
        <v>2268.1</v>
      </c>
      <c r="G30" s="192">
        <f t="shared" ref="G30:H30" si="9">+G32+G33</f>
        <v>2166.7142899999999</v>
      </c>
      <c r="H30" s="192">
        <f t="shared" si="9"/>
        <v>101.3857100000001</v>
      </c>
      <c r="I30" s="192">
        <f t="shared" si="2"/>
        <v>2268.1</v>
      </c>
      <c r="J30" s="194">
        <f>ROUND(G30,1)</f>
        <v>2166.6999999999998</v>
      </c>
      <c r="K30" s="195">
        <f t="shared" ref="K30" si="10">+K32+K33</f>
        <v>101.40000000000003</v>
      </c>
      <c r="L30" s="194">
        <v>2166.7142899999999</v>
      </c>
      <c r="M30" s="186"/>
      <c r="N30" s="186"/>
    </row>
    <row r="31" spans="1:14" s="187" customFormat="1" ht="19.5" hidden="1" thickBot="1" x14ac:dyDescent="0.25">
      <c r="A31" s="188"/>
      <c r="B31" s="189" t="s">
        <v>73</v>
      </c>
      <c r="C31" s="181"/>
      <c r="D31" s="181"/>
      <c r="E31" s="182"/>
      <c r="F31" s="192"/>
      <c r="G31" s="183"/>
      <c r="H31" s="183"/>
      <c r="I31" s="192"/>
      <c r="J31" s="184"/>
      <c r="K31" s="190"/>
      <c r="L31" s="184"/>
      <c r="M31" s="186"/>
      <c r="N31" s="186"/>
    </row>
    <row r="32" spans="1:14" s="187" customFormat="1" ht="19.5" hidden="1" thickBot="1" x14ac:dyDescent="0.25">
      <c r="A32" s="179"/>
      <c r="B32" s="180" t="s">
        <v>74</v>
      </c>
      <c r="C32" s="181" t="s">
        <v>35</v>
      </c>
      <c r="D32" s="181" t="s">
        <v>36</v>
      </c>
      <c r="E32" s="181" t="s">
        <v>132</v>
      </c>
      <c r="F32" s="192">
        <v>356.9</v>
      </c>
      <c r="G32" s="183">
        <v>255.67229</v>
      </c>
      <c r="H32" s="183">
        <f>+F32-G32</f>
        <v>101.22770999999997</v>
      </c>
      <c r="I32" s="192">
        <f t="shared" si="2"/>
        <v>356.9</v>
      </c>
      <c r="J32" s="184">
        <f>ROUND(G32,1)</f>
        <v>255.7</v>
      </c>
      <c r="K32" s="190">
        <f>+I32-J32</f>
        <v>101.19999999999999</v>
      </c>
      <c r="L32" s="184">
        <f>ROUND(I32,1)</f>
        <v>356.9</v>
      </c>
      <c r="M32" s="186"/>
      <c r="N32" s="186"/>
    </row>
    <row r="33" spans="1:14" s="187" customFormat="1" ht="19.5" hidden="1" thickBot="1" x14ac:dyDescent="0.25">
      <c r="A33" s="179"/>
      <c r="B33" s="180" t="s">
        <v>75</v>
      </c>
      <c r="C33" s="181" t="s">
        <v>35</v>
      </c>
      <c r="D33" s="181" t="s">
        <v>36</v>
      </c>
      <c r="E33" s="181" t="s">
        <v>132</v>
      </c>
      <c r="F33" s="192">
        <f>2676.5-765.3</f>
        <v>1911.2</v>
      </c>
      <c r="G33" s="183">
        <v>1911.0419999999999</v>
      </c>
      <c r="H33" s="183">
        <f>+F33-G33</f>
        <v>0.15800000000012915</v>
      </c>
      <c r="I33" s="192">
        <f t="shared" si="2"/>
        <v>1911.2</v>
      </c>
      <c r="J33" s="184">
        <f>ROUND(G33,1)</f>
        <v>1911</v>
      </c>
      <c r="K33" s="193">
        <f>+I33-J33</f>
        <v>0.20000000000004547</v>
      </c>
      <c r="L33" s="184">
        <f>ROUND(I33,1)</f>
        <v>1911.2</v>
      </c>
      <c r="M33" s="186"/>
      <c r="N33" s="186"/>
    </row>
    <row r="34" spans="1:14" s="187" customFormat="1" ht="38.25" thickBot="1" x14ac:dyDescent="0.25">
      <c r="A34" s="179"/>
      <c r="B34" s="180" t="s">
        <v>174</v>
      </c>
      <c r="C34" s="181"/>
      <c r="D34" s="181"/>
      <c r="E34" s="182"/>
      <c r="F34" s="192">
        <f>+F36+F37</f>
        <v>686.3</v>
      </c>
      <c r="G34" s="192">
        <f t="shared" ref="G34:H34" si="11">+G36+G37</f>
        <v>666.72</v>
      </c>
      <c r="H34" s="192">
        <f t="shared" si="11"/>
        <v>19.579999999999885</v>
      </c>
      <c r="I34" s="192">
        <f t="shared" si="2"/>
        <v>686.3</v>
      </c>
      <c r="J34" s="194">
        <f>ROUND(G34,1)</f>
        <v>666.7</v>
      </c>
      <c r="K34" s="195">
        <f t="shared" ref="K34" si="12">+K36+K37</f>
        <v>19.600000000000037</v>
      </c>
      <c r="L34" s="194">
        <v>666.72</v>
      </c>
      <c r="M34" s="186"/>
      <c r="N34" s="186"/>
    </row>
    <row r="35" spans="1:14" s="187" customFormat="1" ht="19.5" hidden="1" thickBot="1" x14ac:dyDescent="0.25">
      <c r="A35" s="188"/>
      <c r="B35" s="189" t="s">
        <v>73</v>
      </c>
      <c r="C35" s="181"/>
      <c r="D35" s="181"/>
      <c r="E35" s="182"/>
      <c r="F35" s="192"/>
      <c r="G35" s="183"/>
      <c r="H35" s="183"/>
      <c r="I35" s="192"/>
      <c r="J35" s="184"/>
      <c r="K35" s="190"/>
      <c r="L35" s="184"/>
      <c r="M35" s="186"/>
      <c r="N35" s="186"/>
    </row>
    <row r="36" spans="1:14" s="187" customFormat="1" ht="19.5" hidden="1" thickBot="1" x14ac:dyDescent="0.25">
      <c r="A36" s="179"/>
      <c r="B36" s="180" t="s">
        <v>74</v>
      </c>
      <c r="C36" s="181" t="s">
        <v>35</v>
      </c>
      <c r="D36" s="181" t="s">
        <v>36</v>
      </c>
      <c r="E36" s="181" t="s">
        <v>132</v>
      </c>
      <c r="F36" s="192">
        <v>98.1</v>
      </c>
      <c r="G36" s="183">
        <v>78.672960000000003</v>
      </c>
      <c r="H36" s="183">
        <f>+F36-G36</f>
        <v>19.427039999999991</v>
      </c>
      <c r="I36" s="192">
        <f t="shared" si="2"/>
        <v>98.1</v>
      </c>
      <c r="J36" s="184">
        <f>ROUND(G36,1)</f>
        <v>78.7</v>
      </c>
      <c r="K36" s="190">
        <f>+I36-J36</f>
        <v>19.399999999999991</v>
      </c>
      <c r="L36" s="184">
        <f>ROUND(I36,1)</f>
        <v>98.1</v>
      </c>
      <c r="M36" s="186"/>
      <c r="N36" s="186"/>
    </row>
    <row r="37" spans="1:14" s="187" customFormat="1" ht="19.5" hidden="1" thickBot="1" x14ac:dyDescent="0.25">
      <c r="A37" s="179"/>
      <c r="B37" s="180" t="s">
        <v>75</v>
      </c>
      <c r="C37" s="181" t="s">
        <v>35</v>
      </c>
      <c r="D37" s="181" t="s">
        <v>36</v>
      </c>
      <c r="E37" s="181" t="s">
        <v>132</v>
      </c>
      <c r="F37" s="192">
        <f>735.3-147.1</f>
        <v>588.19999999999993</v>
      </c>
      <c r="G37" s="183">
        <v>588.04704000000004</v>
      </c>
      <c r="H37" s="183">
        <f>+F37-G37</f>
        <v>0.15295999999989363</v>
      </c>
      <c r="I37" s="192">
        <f t="shared" si="2"/>
        <v>588.20000000000005</v>
      </c>
      <c r="J37" s="184">
        <f>ROUND(G37,1)</f>
        <v>588</v>
      </c>
      <c r="K37" s="193">
        <f>+I37-J37</f>
        <v>0.20000000000004547</v>
      </c>
      <c r="L37" s="184">
        <f>ROUND(I37,1)</f>
        <v>588.20000000000005</v>
      </c>
      <c r="M37" s="186"/>
      <c r="N37" s="186"/>
    </row>
    <row r="38" spans="1:14" s="187" customFormat="1" ht="56.25" x14ac:dyDescent="0.2">
      <c r="A38" s="179"/>
      <c r="B38" s="180" t="s">
        <v>143</v>
      </c>
      <c r="C38" s="181"/>
      <c r="D38" s="181"/>
      <c r="E38" s="182"/>
      <c r="F38" s="192">
        <f>+F40+F41</f>
        <v>10324.254960000002</v>
      </c>
      <c r="G38" s="192">
        <f t="shared" ref="G38:H38" si="13">+G40+G41</f>
        <v>10016.64163</v>
      </c>
      <c r="H38" s="192">
        <f t="shared" si="13"/>
        <v>307.61333000000127</v>
      </c>
      <c r="I38" s="192">
        <f t="shared" si="2"/>
        <v>10324.299999999999</v>
      </c>
      <c r="J38" s="194">
        <f>ROUND(G38,1)+0.1</f>
        <v>10016.700000000001</v>
      </c>
      <c r="K38" s="195">
        <f t="shared" ref="K38" si="14">+K40+K41</f>
        <v>307.599999999999</v>
      </c>
      <c r="L38" s="194">
        <v>10016.64163</v>
      </c>
      <c r="M38" s="186"/>
      <c r="N38" s="186"/>
    </row>
    <row r="39" spans="1:14" s="187" customFormat="1" hidden="1" x14ac:dyDescent="0.2">
      <c r="A39" s="188"/>
      <c r="B39" s="189" t="s">
        <v>73</v>
      </c>
      <c r="C39" s="181"/>
      <c r="D39" s="181"/>
      <c r="E39" s="182"/>
      <c r="F39" s="192"/>
      <c r="G39" s="183"/>
      <c r="H39" s="183"/>
      <c r="I39" s="192"/>
      <c r="J39" s="184"/>
      <c r="K39" s="190"/>
      <c r="L39" s="184"/>
      <c r="M39" s="186"/>
      <c r="N39" s="186"/>
    </row>
    <row r="40" spans="1:14" s="187" customFormat="1" hidden="1" x14ac:dyDescent="0.2">
      <c r="A40" s="179"/>
      <c r="B40" s="180" t="s">
        <v>74</v>
      </c>
      <c r="C40" s="181" t="s">
        <v>35</v>
      </c>
      <c r="D40" s="181" t="s">
        <v>36</v>
      </c>
      <c r="E40" s="181" t="s">
        <v>132</v>
      </c>
      <c r="F40" s="192">
        <f>1568.6-79.24504</f>
        <v>1489.3549599999999</v>
      </c>
      <c r="G40" s="183">
        <v>1181.96371</v>
      </c>
      <c r="H40" s="183">
        <f>+F40-G40</f>
        <v>307.3912499999999</v>
      </c>
      <c r="I40" s="192">
        <f t="shared" si="2"/>
        <v>1489.4</v>
      </c>
      <c r="J40" s="184">
        <f>ROUND(G40,1)</f>
        <v>1182</v>
      </c>
      <c r="K40" s="190">
        <f>+I40-J40</f>
        <v>307.40000000000009</v>
      </c>
      <c r="L40" s="184">
        <f>ROUND(I40,1)</f>
        <v>1489.4</v>
      </c>
      <c r="M40" s="186"/>
      <c r="N40" s="186"/>
    </row>
    <row r="41" spans="1:14" s="187" customFormat="1" ht="19.5" hidden="1" thickBot="1" x14ac:dyDescent="0.25">
      <c r="A41" s="179"/>
      <c r="B41" s="180" t="s">
        <v>75</v>
      </c>
      <c r="C41" s="181" t="s">
        <v>35</v>
      </c>
      <c r="D41" s="181" t="s">
        <v>36</v>
      </c>
      <c r="E41" s="181" t="s">
        <v>132</v>
      </c>
      <c r="F41" s="192">
        <f>11764.7-2929.8</f>
        <v>8834.9000000000015</v>
      </c>
      <c r="G41" s="183">
        <v>8834.6779200000001</v>
      </c>
      <c r="H41" s="183">
        <f>+F41-G41</f>
        <v>0.22208000000136963</v>
      </c>
      <c r="I41" s="192">
        <f t="shared" si="2"/>
        <v>8834.9</v>
      </c>
      <c r="J41" s="184">
        <f>ROUND(G41,1)</f>
        <v>8834.7000000000007</v>
      </c>
      <c r="K41" s="193">
        <f>+I41-J41</f>
        <v>0.19999999999890861</v>
      </c>
      <c r="L41" s="184">
        <f>ROUND(I41,1)</f>
        <v>8834.9</v>
      </c>
      <c r="M41" s="186"/>
      <c r="N41" s="186"/>
    </row>
    <row r="42" spans="1:14" s="187" customFormat="1" hidden="1" x14ac:dyDescent="0.2">
      <c r="A42" s="188"/>
      <c r="B42" s="189" t="s">
        <v>73</v>
      </c>
      <c r="C42" s="181"/>
      <c r="D42" s="181"/>
      <c r="E42" s="181"/>
      <c r="F42" s="192"/>
      <c r="G42" s="183"/>
      <c r="H42" s="183"/>
      <c r="I42" s="192"/>
      <c r="J42" s="184"/>
      <c r="K42" s="190"/>
      <c r="L42" s="184"/>
      <c r="M42" s="186"/>
      <c r="N42" s="186"/>
    </row>
    <row r="43" spans="1:14" s="187" customFormat="1" ht="19.5" hidden="1" thickBot="1" x14ac:dyDescent="0.25">
      <c r="A43" s="179"/>
      <c r="B43" s="180" t="s">
        <v>135</v>
      </c>
      <c r="C43" s="181" t="s">
        <v>54</v>
      </c>
      <c r="D43" s="181" t="s">
        <v>42</v>
      </c>
      <c r="E43" s="181" t="s">
        <v>132</v>
      </c>
      <c r="F43" s="192">
        <f>2193.3+34361</f>
        <v>36554.300000000003</v>
      </c>
      <c r="G43" s="183">
        <f>2193.27229+34361.02771</f>
        <v>36554.300000000003</v>
      </c>
      <c r="H43" s="183">
        <f>F43-G43</f>
        <v>0</v>
      </c>
      <c r="I43" s="192">
        <f t="shared" si="2"/>
        <v>36554.300000000003</v>
      </c>
      <c r="J43" s="184">
        <f>ROUND(G43,1)</f>
        <v>36554.300000000003</v>
      </c>
      <c r="K43" s="193">
        <f>I43-J43</f>
        <v>0</v>
      </c>
      <c r="L43" s="184">
        <f>ROUND(I43,1)</f>
        <v>36554.300000000003</v>
      </c>
      <c r="M43" s="186"/>
      <c r="N43" s="186"/>
    </row>
    <row r="44" spans="1:14" s="187" customFormat="1" ht="19.5" thickBot="1" x14ac:dyDescent="0.25">
      <c r="A44" s="161" t="s">
        <v>165</v>
      </c>
      <c r="B44" s="162" t="s">
        <v>166</v>
      </c>
      <c r="C44" s="196" t="s">
        <v>41</v>
      </c>
      <c r="D44" s="196"/>
      <c r="E44" s="196"/>
      <c r="F44" s="197"/>
      <c r="G44" s="198">
        <f>G45+G50</f>
        <v>3303.2909999999997</v>
      </c>
      <c r="H44" s="198">
        <f t="shared" ref="H44:J44" si="15">H45+H50</f>
        <v>3.1880000000001019</v>
      </c>
      <c r="I44" s="198">
        <f t="shared" si="15"/>
        <v>3306.5</v>
      </c>
      <c r="J44" s="199">
        <f t="shared" si="15"/>
        <v>3303.3</v>
      </c>
      <c r="K44" s="200"/>
      <c r="L44" s="199">
        <f t="shared" ref="L44" si="16">L45+L50</f>
        <v>3303.2910000000002</v>
      </c>
      <c r="M44" s="186"/>
      <c r="N44" s="186"/>
    </row>
    <row r="45" spans="1:14" s="187" customFormat="1" ht="19.5" thickBot="1" x14ac:dyDescent="0.25">
      <c r="A45" s="163" t="s">
        <v>167</v>
      </c>
      <c r="B45" s="164" t="s">
        <v>168</v>
      </c>
      <c r="C45" s="181" t="s">
        <v>41</v>
      </c>
      <c r="D45" s="181" t="s">
        <v>42</v>
      </c>
      <c r="E45" s="181"/>
      <c r="F45" s="192"/>
      <c r="G45" s="183">
        <f>G47</f>
        <v>2596.8119999999999</v>
      </c>
      <c r="H45" s="183">
        <f t="shared" ref="H45:J45" si="17">H47</f>
        <v>3.1880000000001019</v>
      </c>
      <c r="I45" s="183">
        <f t="shared" si="17"/>
        <v>2600</v>
      </c>
      <c r="J45" s="184">
        <f t="shared" si="17"/>
        <v>2596.8000000000002</v>
      </c>
      <c r="K45" s="200"/>
      <c r="L45" s="184">
        <f t="shared" ref="L45" si="18">L47</f>
        <v>2596.8119999999999</v>
      </c>
      <c r="M45" s="186"/>
      <c r="N45" s="186"/>
    </row>
    <row r="46" spans="1:14" s="204" customFormat="1" ht="19.5" thickBot="1" x14ac:dyDescent="0.25">
      <c r="A46" s="172"/>
      <c r="B46" s="173" t="s">
        <v>160</v>
      </c>
      <c r="C46" s="174"/>
      <c r="D46" s="174"/>
      <c r="E46" s="175"/>
      <c r="F46" s="201">
        <f>F47+F52+F65</f>
        <v>53856.478999999999</v>
      </c>
      <c r="G46" s="201"/>
      <c r="H46" s="201"/>
      <c r="I46" s="201"/>
      <c r="J46" s="202"/>
      <c r="K46" s="203">
        <f>K47+K52+K65</f>
        <v>398.90000000000236</v>
      </c>
      <c r="L46" s="202"/>
      <c r="M46" s="171"/>
      <c r="N46" s="171"/>
    </row>
    <row r="47" spans="1:14" s="187" customFormat="1" ht="59.25" customHeight="1" x14ac:dyDescent="0.2">
      <c r="A47" s="172"/>
      <c r="B47" s="173" t="s">
        <v>133</v>
      </c>
      <c r="C47" s="181"/>
      <c r="D47" s="181"/>
      <c r="E47" s="182"/>
      <c r="F47" s="183">
        <f>F49</f>
        <v>2600</v>
      </c>
      <c r="G47" s="183">
        <f>G49</f>
        <v>2596.8119999999999</v>
      </c>
      <c r="H47" s="183">
        <f>H49</f>
        <v>3.1880000000001019</v>
      </c>
      <c r="I47" s="183">
        <f t="shared" si="2"/>
        <v>2600</v>
      </c>
      <c r="J47" s="184">
        <f>ROUND(G47,1)</f>
        <v>2596.8000000000002</v>
      </c>
      <c r="K47" s="185">
        <f>K49</f>
        <v>3.1999999999998181</v>
      </c>
      <c r="L47" s="184">
        <v>2596.8119999999999</v>
      </c>
      <c r="M47" s="205"/>
      <c r="N47" s="205"/>
    </row>
    <row r="48" spans="1:14" s="4" customFormat="1" hidden="1" x14ac:dyDescent="0.2">
      <c r="A48" s="206"/>
      <c r="B48" s="207" t="s">
        <v>73</v>
      </c>
      <c r="C48" s="181"/>
      <c r="D48" s="181"/>
      <c r="E48" s="182"/>
      <c r="F48" s="183"/>
      <c r="G48" s="183"/>
      <c r="H48" s="183"/>
      <c r="I48" s="183"/>
      <c r="J48" s="184"/>
      <c r="K48" s="190"/>
      <c r="L48" s="184"/>
      <c r="M48" s="205"/>
      <c r="N48" s="205"/>
    </row>
    <row r="49" spans="1:14" s="4" customFormat="1" ht="19.5" hidden="1" thickBot="1" x14ac:dyDescent="0.25">
      <c r="A49" s="208"/>
      <c r="B49" s="209" t="s">
        <v>74</v>
      </c>
      <c r="C49" s="181" t="s">
        <v>41</v>
      </c>
      <c r="D49" s="181" t="s">
        <v>42</v>
      </c>
      <c r="E49" s="181" t="s">
        <v>132</v>
      </c>
      <c r="F49" s="192">
        <v>2600</v>
      </c>
      <c r="G49" s="183">
        <v>2596.8119999999999</v>
      </c>
      <c r="H49" s="183">
        <f>F49-G49</f>
        <v>3.1880000000001019</v>
      </c>
      <c r="I49" s="192">
        <f t="shared" si="2"/>
        <v>2600</v>
      </c>
      <c r="J49" s="184">
        <f>ROUND(G49,1)</f>
        <v>2596.8000000000002</v>
      </c>
      <c r="K49" s="193">
        <f>I49-J49</f>
        <v>3.1999999999998181</v>
      </c>
      <c r="L49" s="184">
        <f>ROUND(I49,1)</f>
        <v>2600</v>
      </c>
      <c r="M49" s="205"/>
      <c r="N49" s="205"/>
    </row>
    <row r="50" spans="1:14" s="4" customFormat="1" x14ac:dyDescent="0.2">
      <c r="A50" s="163" t="s">
        <v>169</v>
      </c>
      <c r="B50" s="164" t="s">
        <v>170</v>
      </c>
      <c r="C50" s="181"/>
      <c r="D50" s="181"/>
      <c r="E50" s="181"/>
      <c r="F50" s="192"/>
      <c r="G50" s="183">
        <f>G52</f>
        <v>706.47899999999993</v>
      </c>
      <c r="H50" s="183">
        <f t="shared" ref="H50:L50" si="19">H52</f>
        <v>0</v>
      </c>
      <c r="I50" s="183">
        <f t="shared" si="19"/>
        <v>706.5</v>
      </c>
      <c r="J50" s="184">
        <f t="shared" si="19"/>
        <v>706.5</v>
      </c>
      <c r="K50" s="184">
        <f t="shared" si="19"/>
        <v>0</v>
      </c>
      <c r="L50" s="184">
        <f t="shared" si="19"/>
        <v>706.47900000000004</v>
      </c>
      <c r="M50" s="205"/>
      <c r="N50" s="205"/>
    </row>
    <row r="51" spans="1:14" s="4" customFormat="1" ht="19.5" thickBot="1" x14ac:dyDescent="0.25">
      <c r="A51" s="163"/>
      <c r="B51" s="164" t="s">
        <v>160</v>
      </c>
      <c r="C51" s="181"/>
      <c r="D51" s="181"/>
      <c r="E51" s="181"/>
      <c r="F51" s="192"/>
      <c r="G51" s="183"/>
      <c r="H51" s="183"/>
      <c r="I51" s="192"/>
      <c r="J51" s="184"/>
      <c r="K51" s="210"/>
      <c r="L51" s="184"/>
      <c r="M51" s="205"/>
      <c r="N51" s="205"/>
    </row>
    <row r="52" spans="1:14" s="205" customFormat="1" ht="45.75" customHeight="1" x14ac:dyDescent="0.2">
      <c r="A52" s="208"/>
      <c r="B52" s="209" t="s">
        <v>12</v>
      </c>
      <c r="C52" s="181"/>
      <c r="D52" s="181"/>
      <c r="E52" s="181"/>
      <c r="F52" s="192">
        <f>F54</f>
        <v>706.47900000000004</v>
      </c>
      <c r="G52" s="183">
        <f>G54</f>
        <v>706.47899999999993</v>
      </c>
      <c r="H52" s="183">
        <f>H54</f>
        <v>0</v>
      </c>
      <c r="I52" s="192">
        <f t="shared" si="2"/>
        <v>706.5</v>
      </c>
      <c r="J52" s="184">
        <f>ROUND(G52,1)</f>
        <v>706.5</v>
      </c>
      <c r="K52" s="185">
        <f>K54</f>
        <v>0</v>
      </c>
      <c r="L52" s="184">
        <v>706.47900000000004</v>
      </c>
    </row>
    <row r="53" spans="1:14" s="4" customFormat="1" hidden="1" x14ac:dyDescent="0.2">
      <c r="A53" s="206"/>
      <c r="B53" s="207" t="s">
        <v>73</v>
      </c>
      <c r="C53" s="181"/>
      <c r="D53" s="181"/>
      <c r="E53" s="181"/>
      <c r="F53" s="192"/>
      <c r="G53" s="183"/>
      <c r="H53" s="183"/>
      <c r="I53" s="192"/>
      <c r="J53" s="184"/>
      <c r="K53" s="190"/>
      <c r="L53" s="184"/>
      <c r="M53" s="205"/>
      <c r="N53" s="205"/>
    </row>
    <row r="54" spans="1:14" s="4" customFormat="1" ht="19.5" hidden="1" thickBot="1" x14ac:dyDescent="0.25">
      <c r="A54" s="208"/>
      <c r="B54" s="209" t="s">
        <v>74</v>
      </c>
      <c r="C54" s="181" t="s">
        <v>41</v>
      </c>
      <c r="D54" s="181" t="s">
        <v>45</v>
      </c>
      <c r="E54" s="181" t="s">
        <v>132</v>
      </c>
      <c r="F54" s="192">
        <f>1304+896-464.55-1028.971</f>
        <v>706.47900000000004</v>
      </c>
      <c r="G54" s="183">
        <f>112.429+594.05</f>
        <v>706.47899999999993</v>
      </c>
      <c r="H54" s="183">
        <f>F54-G54</f>
        <v>0</v>
      </c>
      <c r="I54" s="192">
        <f t="shared" si="2"/>
        <v>706.5</v>
      </c>
      <c r="J54" s="184">
        <f>ROUND(G54,1)</f>
        <v>706.5</v>
      </c>
      <c r="K54" s="193">
        <f>I54-J54</f>
        <v>0</v>
      </c>
      <c r="L54" s="184">
        <f>ROUND(I54,1)</f>
        <v>706.5</v>
      </c>
      <c r="M54" s="205"/>
      <c r="N54" s="205"/>
    </row>
    <row r="55" spans="1:14" s="186" customFormat="1" x14ac:dyDescent="0.2">
      <c r="A55" s="211" t="s">
        <v>161</v>
      </c>
      <c r="B55" s="212" t="s">
        <v>164</v>
      </c>
      <c r="C55" s="196" t="s">
        <v>54</v>
      </c>
      <c r="D55" s="196"/>
      <c r="E55" s="196"/>
      <c r="F55" s="197"/>
      <c r="G55" s="198">
        <f>G56</f>
        <v>158592.29999999999</v>
      </c>
      <c r="H55" s="198">
        <f t="shared" ref="H55:L55" si="20">H56</f>
        <v>0</v>
      </c>
      <c r="I55" s="198">
        <f t="shared" si="20"/>
        <v>158592.29999999999</v>
      </c>
      <c r="J55" s="199">
        <f t="shared" si="20"/>
        <v>158592.29999999999</v>
      </c>
      <c r="K55" s="213"/>
      <c r="L55" s="199">
        <f t="shared" si="20"/>
        <v>158592.29999999999</v>
      </c>
    </row>
    <row r="56" spans="1:14" s="187" customFormat="1" x14ac:dyDescent="0.2">
      <c r="A56" s="179" t="s">
        <v>162</v>
      </c>
      <c r="B56" s="180" t="s">
        <v>163</v>
      </c>
      <c r="C56" s="181" t="s">
        <v>54</v>
      </c>
      <c r="D56" s="181" t="s">
        <v>42</v>
      </c>
      <c r="E56" s="181"/>
      <c r="F56" s="192"/>
      <c r="G56" s="183">
        <f>G58+G61</f>
        <v>158592.29999999999</v>
      </c>
      <c r="H56" s="183">
        <f t="shared" ref="H56:J56" si="21">H58+H61</f>
        <v>0</v>
      </c>
      <c r="I56" s="183">
        <f t="shared" si="21"/>
        <v>158592.29999999999</v>
      </c>
      <c r="J56" s="184">
        <f t="shared" si="21"/>
        <v>158592.29999999999</v>
      </c>
      <c r="K56" s="210"/>
      <c r="L56" s="184">
        <f t="shared" ref="L56" si="22">L58+L61</f>
        <v>158592.29999999999</v>
      </c>
      <c r="M56" s="186"/>
      <c r="N56" s="186"/>
    </row>
    <row r="57" spans="1:14" s="187" customFormat="1" ht="19.5" thickBot="1" x14ac:dyDescent="0.25">
      <c r="A57" s="179"/>
      <c r="B57" s="173" t="s">
        <v>160</v>
      </c>
      <c r="C57" s="181"/>
      <c r="D57" s="181"/>
      <c r="E57" s="181"/>
      <c r="F57" s="192"/>
      <c r="G57" s="183"/>
      <c r="H57" s="183"/>
      <c r="I57" s="192"/>
      <c r="J57" s="184"/>
      <c r="K57" s="210"/>
      <c r="L57" s="184"/>
      <c r="M57" s="186"/>
      <c r="N57" s="186"/>
    </row>
    <row r="58" spans="1:14" s="186" customFormat="1" ht="79.5" customHeight="1" thickBot="1" x14ac:dyDescent="0.25">
      <c r="A58" s="179"/>
      <c r="B58" s="180" t="s">
        <v>147</v>
      </c>
      <c r="C58" s="181"/>
      <c r="D58" s="181"/>
      <c r="E58" s="181"/>
      <c r="F58" s="192">
        <f>+F60</f>
        <v>122038</v>
      </c>
      <c r="G58" s="192">
        <f t="shared" ref="G58" si="23">+G60</f>
        <v>122038</v>
      </c>
      <c r="H58" s="183">
        <f>+H60</f>
        <v>0</v>
      </c>
      <c r="I58" s="192">
        <f>ROUND(F58,1)</f>
        <v>122038</v>
      </c>
      <c r="J58" s="194">
        <f>ROUND(G58,1)</f>
        <v>122038</v>
      </c>
      <c r="K58" s="185">
        <f>+K60</f>
        <v>0</v>
      </c>
      <c r="L58" s="194">
        <v>122038</v>
      </c>
    </row>
    <row r="59" spans="1:14" s="187" customFormat="1" ht="19.5" hidden="1" thickBot="1" x14ac:dyDescent="0.25">
      <c r="A59" s="188"/>
      <c r="B59" s="189" t="s">
        <v>73</v>
      </c>
      <c r="C59" s="181"/>
      <c r="D59" s="181"/>
      <c r="E59" s="181"/>
      <c r="F59" s="192"/>
      <c r="G59" s="183"/>
      <c r="H59" s="183"/>
      <c r="I59" s="192"/>
      <c r="J59" s="184"/>
      <c r="K59" s="190"/>
      <c r="L59" s="184"/>
      <c r="M59" s="186"/>
      <c r="N59" s="186"/>
    </row>
    <row r="60" spans="1:14" s="187" customFormat="1" ht="19.5" hidden="1" thickBot="1" x14ac:dyDescent="0.25">
      <c r="A60" s="179"/>
      <c r="B60" s="180" t="s">
        <v>135</v>
      </c>
      <c r="C60" s="181" t="s">
        <v>54</v>
      </c>
      <c r="D60" s="181" t="s">
        <v>42</v>
      </c>
      <c r="E60" s="181" t="s">
        <v>132</v>
      </c>
      <c r="F60" s="192">
        <f>7322.3+114715.7</f>
        <v>122038</v>
      </c>
      <c r="G60" s="183">
        <f>7322.32771+114715.67229</f>
        <v>122038</v>
      </c>
      <c r="H60" s="183">
        <f>F60-G60</f>
        <v>0</v>
      </c>
      <c r="I60" s="192">
        <f>ROUND(F60,1)</f>
        <v>122038</v>
      </c>
      <c r="J60" s="184">
        <f>ROUND(G60,1)</f>
        <v>122038</v>
      </c>
      <c r="K60" s="193">
        <f>I60-J60</f>
        <v>0</v>
      </c>
      <c r="L60" s="184">
        <f>ROUND(I60,1)</f>
        <v>122038</v>
      </c>
      <c r="M60" s="186"/>
      <c r="N60" s="186"/>
    </row>
    <row r="61" spans="1:14" s="186" customFormat="1" ht="84" customHeight="1" x14ac:dyDescent="0.2">
      <c r="A61" s="179"/>
      <c r="B61" s="180" t="s">
        <v>148</v>
      </c>
      <c r="C61" s="181"/>
      <c r="D61" s="181"/>
      <c r="E61" s="181"/>
      <c r="F61" s="192">
        <f>+F43</f>
        <v>36554.300000000003</v>
      </c>
      <c r="G61" s="192">
        <f>+G43</f>
        <v>36554.300000000003</v>
      </c>
      <c r="H61" s="192">
        <f>+H43</f>
        <v>0</v>
      </c>
      <c r="I61" s="192">
        <f>ROUND(F61,1)</f>
        <v>36554.300000000003</v>
      </c>
      <c r="J61" s="194">
        <f>ROUND(G61,1)</f>
        <v>36554.300000000003</v>
      </c>
      <c r="K61" s="195">
        <f>+K43</f>
        <v>0</v>
      </c>
      <c r="L61" s="194">
        <v>36554.300000000003</v>
      </c>
    </row>
    <row r="62" spans="1:14" s="4" customFormat="1" x14ac:dyDescent="0.2">
      <c r="A62" s="161" t="s">
        <v>161</v>
      </c>
      <c r="B62" s="162" t="s">
        <v>171</v>
      </c>
      <c r="C62" s="196" t="s">
        <v>134</v>
      </c>
      <c r="D62" s="196"/>
      <c r="E62" s="196"/>
      <c r="F62" s="197"/>
      <c r="G62" s="198">
        <f>G63</f>
        <v>50154.320559999993</v>
      </c>
      <c r="H62" s="198">
        <f t="shared" ref="H62:L62" si="24">H63</f>
        <v>395.67944000000534</v>
      </c>
      <c r="I62" s="198">
        <f t="shared" si="24"/>
        <v>50550</v>
      </c>
      <c r="J62" s="199">
        <f t="shared" si="24"/>
        <v>50154.3</v>
      </c>
      <c r="K62" s="210"/>
      <c r="L62" s="199">
        <f t="shared" si="24"/>
        <v>50154.32056</v>
      </c>
      <c r="M62" s="205"/>
      <c r="N62" s="205"/>
    </row>
    <row r="63" spans="1:14" s="4" customFormat="1" x14ac:dyDescent="0.2">
      <c r="A63" s="163" t="s">
        <v>162</v>
      </c>
      <c r="B63" s="164" t="s">
        <v>172</v>
      </c>
      <c r="C63" s="181" t="s">
        <v>134</v>
      </c>
      <c r="D63" s="181" t="s">
        <v>35</v>
      </c>
      <c r="E63" s="181"/>
      <c r="F63" s="192"/>
      <c r="G63" s="183">
        <f>G65</f>
        <v>50154.320559999993</v>
      </c>
      <c r="H63" s="183">
        <f t="shared" ref="H63:J63" si="25">H65</f>
        <v>395.67944000000534</v>
      </c>
      <c r="I63" s="183">
        <f t="shared" si="25"/>
        <v>50550</v>
      </c>
      <c r="J63" s="184">
        <f t="shared" si="25"/>
        <v>50154.3</v>
      </c>
      <c r="K63" s="210"/>
      <c r="L63" s="184">
        <f t="shared" ref="L63" si="26">L65</f>
        <v>50154.32056</v>
      </c>
      <c r="M63" s="205"/>
      <c r="N63" s="205"/>
    </row>
    <row r="64" spans="1:14" s="4" customFormat="1" ht="19.5" thickBot="1" x14ac:dyDescent="0.25">
      <c r="A64" s="163"/>
      <c r="B64" s="164" t="s">
        <v>160</v>
      </c>
      <c r="C64" s="181"/>
      <c r="D64" s="181"/>
      <c r="E64" s="181"/>
      <c r="F64" s="192"/>
      <c r="G64" s="183"/>
      <c r="H64" s="183"/>
      <c r="I64" s="192"/>
      <c r="J64" s="184"/>
      <c r="K64" s="210"/>
      <c r="L64" s="184"/>
      <c r="M64" s="205"/>
      <c r="N64" s="205"/>
    </row>
    <row r="65" spans="1:14" s="187" customFormat="1" ht="78.75" customHeight="1" thickBot="1" x14ac:dyDescent="0.25">
      <c r="A65" s="179"/>
      <c r="B65" s="180" t="s">
        <v>137</v>
      </c>
      <c r="C65" s="181"/>
      <c r="D65" s="181"/>
      <c r="E65" s="181"/>
      <c r="F65" s="192">
        <f>F68+F67</f>
        <v>50550</v>
      </c>
      <c r="G65" s="192">
        <f t="shared" ref="G65:H65" si="27">G68+G67</f>
        <v>50154.320559999993</v>
      </c>
      <c r="H65" s="192">
        <f t="shared" si="27"/>
        <v>395.67944000000534</v>
      </c>
      <c r="I65" s="192">
        <f t="shared" si="2"/>
        <v>50550</v>
      </c>
      <c r="J65" s="194">
        <f>ROUND(G65,1)</f>
        <v>50154.3</v>
      </c>
      <c r="K65" s="195">
        <f t="shared" ref="K65" si="28">K68+K67</f>
        <v>395.70000000000255</v>
      </c>
      <c r="L65" s="194">
        <v>50154.32056</v>
      </c>
      <c r="M65" s="205"/>
      <c r="N65" s="205"/>
    </row>
    <row r="66" spans="1:14" s="187" customFormat="1" ht="19.5" hidden="1" thickBot="1" x14ac:dyDescent="0.25">
      <c r="A66" s="214"/>
      <c r="B66" s="189" t="s">
        <v>73</v>
      </c>
      <c r="C66" s="181"/>
      <c r="D66" s="181"/>
      <c r="E66" s="181"/>
      <c r="F66" s="192"/>
      <c r="G66" s="183"/>
      <c r="H66" s="183"/>
      <c r="I66" s="192"/>
      <c r="J66" s="184"/>
      <c r="K66" s="190"/>
      <c r="L66" s="184"/>
      <c r="M66" s="205"/>
      <c r="N66" s="205"/>
    </row>
    <row r="67" spans="1:14" s="187" customFormat="1" ht="19.5" hidden="1" thickBot="1" x14ac:dyDescent="0.25">
      <c r="A67" s="276"/>
      <c r="B67" s="278" t="s">
        <v>135</v>
      </c>
      <c r="C67" s="181" t="s">
        <v>134</v>
      </c>
      <c r="D67" s="181" t="s">
        <v>35</v>
      </c>
      <c r="E67" s="181" t="s">
        <v>132</v>
      </c>
      <c r="F67" s="192">
        <v>35197.979350000001</v>
      </c>
      <c r="G67" s="183">
        <f>13030.54732+15527.16692+1106.74689+5258.22107</f>
        <v>34922.682199999996</v>
      </c>
      <c r="H67" s="183">
        <f>+F67-G67</f>
        <v>275.29715000000579</v>
      </c>
      <c r="I67" s="192">
        <f t="shared" si="2"/>
        <v>35198</v>
      </c>
      <c r="J67" s="184">
        <f>ROUND(G67,1)</f>
        <v>34922.699999999997</v>
      </c>
      <c r="K67" s="190">
        <f>+I67-J67</f>
        <v>275.30000000000291</v>
      </c>
      <c r="L67" s="184">
        <f>ROUND(I67,1)</f>
        <v>35198</v>
      </c>
      <c r="M67" s="205"/>
      <c r="N67" s="205"/>
    </row>
    <row r="68" spans="1:14" s="187" customFormat="1" ht="19.5" hidden="1" thickBot="1" x14ac:dyDescent="0.25">
      <c r="A68" s="277"/>
      <c r="B68" s="279"/>
      <c r="C68" s="215" t="s">
        <v>134</v>
      </c>
      <c r="D68" s="215" t="s">
        <v>35</v>
      </c>
      <c r="E68" s="215" t="s">
        <v>132</v>
      </c>
      <c r="F68" s="216">
        <v>15352.02065</v>
      </c>
      <c r="G68" s="217">
        <f>5683.31444+6772.22299+482.71116+2293.38977</f>
        <v>15231.638360000001</v>
      </c>
      <c r="H68" s="217">
        <f>+F68-G68</f>
        <v>120.38228999999956</v>
      </c>
      <c r="I68" s="216">
        <f t="shared" si="2"/>
        <v>15352</v>
      </c>
      <c r="J68" s="218">
        <f>ROUND(G68,1)</f>
        <v>15231.6</v>
      </c>
      <c r="K68" s="193">
        <f>+I68-J68</f>
        <v>120.39999999999964</v>
      </c>
      <c r="L68" s="218">
        <f>ROUND(I68,1)</f>
        <v>15352</v>
      </c>
      <c r="M68" s="205"/>
      <c r="N68" s="205"/>
    </row>
    <row r="69" spans="1:14" s="204" customFormat="1" ht="19.5" thickBot="1" x14ac:dyDescent="0.25">
      <c r="A69" s="274" t="s">
        <v>173</v>
      </c>
      <c r="B69" s="275"/>
      <c r="C69" s="219"/>
      <c r="D69" s="219"/>
      <c r="E69" s="220"/>
      <c r="F69" s="221">
        <f>+F71+F72</f>
        <v>289816.33395999996</v>
      </c>
      <c r="G69" s="221">
        <f>G12+G44+G55+G62</f>
        <v>288079.37555</v>
      </c>
      <c r="H69" s="221">
        <f t="shared" ref="H69:K69" si="29">H12+H44+H55+H62</f>
        <v>1736.9584100000041</v>
      </c>
      <c r="I69" s="221">
        <f t="shared" si="29"/>
        <v>448408.69999999995</v>
      </c>
      <c r="J69" s="222">
        <f t="shared" si="29"/>
        <v>288079.3</v>
      </c>
      <c r="K69" s="255">
        <f t="shared" si="29"/>
        <v>1338.199999999995</v>
      </c>
      <c r="L69" s="256">
        <f t="shared" ref="L69" si="30">L12+L44+L55+L62</f>
        <v>288079.37555</v>
      </c>
      <c r="M69" s="171"/>
      <c r="N69" s="171"/>
    </row>
    <row r="70" spans="1:14" s="4" customFormat="1" hidden="1" x14ac:dyDescent="0.2">
      <c r="A70" s="223"/>
      <c r="B70" s="224" t="s">
        <v>73</v>
      </c>
      <c r="C70" s="225"/>
      <c r="D70" s="225"/>
      <c r="E70" s="226"/>
      <c r="F70" s="227"/>
      <c r="G70" s="227"/>
      <c r="H70" s="228"/>
      <c r="I70" s="227"/>
      <c r="J70" s="227"/>
      <c r="K70" s="184"/>
      <c r="L70" s="227"/>
      <c r="M70" s="205"/>
      <c r="N70" s="205"/>
    </row>
    <row r="71" spans="1:14" s="4" customFormat="1" hidden="1" x14ac:dyDescent="0.2">
      <c r="A71" s="229"/>
      <c r="B71" s="230" t="s">
        <v>74</v>
      </c>
      <c r="C71" s="181"/>
      <c r="D71" s="181"/>
      <c r="E71" s="182"/>
      <c r="F71" s="183">
        <f>F17+F20+F49+F54+F40+F36+F32+F28+F24</f>
        <v>60273.033960000001</v>
      </c>
      <c r="G71" s="183">
        <f>G17+G20+G49+G54+G40+G36+G32+G28+G24</f>
        <v>58932.719130000005</v>
      </c>
      <c r="H71" s="184">
        <f>H17+H20+H49+H54+H40+H36+H32+H28+H24</f>
        <v>1340.314829999998</v>
      </c>
      <c r="I71" s="183">
        <v>60273</v>
      </c>
      <c r="J71" s="183">
        <v>58932.7</v>
      </c>
      <c r="K71" s="184">
        <f>+I71-J71</f>
        <v>1340.3000000000029</v>
      </c>
      <c r="L71" s="183">
        <v>58932.7</v>
      </c>
      <c r="M71" s="205"/>
      <c r="N71" s="205"/>
    </row>
    <row r="72" spans="1:14" s="4" customFormat="1" ht="19.5" hidden="1" thickBot="1" x14ac:dyDescent="0.25">
      <c r="A72" s="231"/>
      <c r="B72" s="232" t="s">
        <v>75</v>
      </c>
      <c r="C72" s="233"/>
      <c r="D72" s="233"/>
      <c r="E72" s="234"/>
      <c r="F72" s="235">
        <f>F68+F67+F21+F25+F29+F33+F37+F41+F60+F43</f>
        <v>229543.3</v>
      </c>
      <c r="G72" s="235">
        <f>G68+G67+G21+G25+G29+G33+G37+G41+G60+G43</f>
        <v>229146.65641999996</v>
      </c>
      <c r="H72" s="236">
        <f>H68+H67+H21+H25+H29+H33+H37+H41+H60+H43</f>
        <v>396.6435800000063</v>
      </c>
      <c r="I72" s="235">
        <v>229543.3</v>
      </c>
      <c r="J72" s="235">
        <v>229146.7</v>
      </c>
      <c r="K72" s="236">
        <f>+I72-J72</f>
        <v>396.59999999997672</v>
      </c>
      <c r="L72" s="235">
        <v>229146.7</v>
      </c>
      <c r="M72" s="205"/>
      <c r="N72" s="205"/>
    </row>
    <row r="73" spans="1:14" s="4" customFormat="1" x14ac:dyDescent="0.2">
      <c r="A73" s="237"/>
      <c r="B73" s="238"/>
      <c r="C73" s="239"/>
      <c r="D73" s="239"/>
      <c r="E73" s="240"/>
      <c r="F73" s="241"/>
      <c r="G73" s="241"/>
      <c r="H73" s="241"/>
      <c r="I73" s="241"/>
      <c r="J73" s="241"/>
      <c r="K73" s="241"/>
      <c r="L73" s="241"/>
      <c r="M73" s="205"/>
      <c r="N73" s="205"/>
    </row>
    <row r="74" spans="1:14" s="4" customFormat="1" x14ac:dyDescent="0.2">
      <c r="B74" s="238"/>
      <c r="C74" s="240"/>
      <c r="D74" s="240"/>
      <c r="E74" s="240"/>
      <c r="F74" s="241"/>
      <c r="G74" s="241"/>
      <c r="H74" s="241"/>
      <c r="I74" s="241"/>
      <c r="J74" s="241"/>
      <c r="K74" s="241"/>
      <c r="L74" s="241"/>
      <c r="M74" s="205"/>
      <c r="N74" s="205"/>
    </row>
    <row r="75" spans="1:14" x14ac:dyDescent="0.2">
      <c r="H75" s="2"/>
      <c r="K75" s="2"/>
    </row>
    <row r="76" spans="1:14" x14ac:dyDescent="0.2">
      <c r="H76" s="2"/>
      <c r="K76" s="2"/>
    </row>
  </sheetData>
  <mergeCells count="4">
    <mergeCell ref="A69:B69"/>
    <mergeCell ref="A67:A68"/>
    <mergeCell ref="B67:B68"/>
    <mergeCell ref="A7:L7"/>
  </mergeCells>
  <pageMargins left="1.1811023622047245" right="0.39370078740157483" top="0.78740157480314965" bottom="0.78740157480314965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 для кжкх и кумииз</vt:lpstr>
      <vt:lpstr>на 01.01.2019</vt:lpstr>
      <vt:lpstr>Лист1</vt:lpstr>
      <vt:lpstr>'на 01.01.2019'!Заголовки_для_печати</vt:lpstr>
      <vt:lpstr>'форма для кжкх и кумииз'!Заголовки_для_печати</vt:lpstr>
      <vt:lpstr>'на 01.01.2019'!Область_печати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korolko</dc:creator>
  <cp:lastModifiedBy>user</cp:lastModifiedBy>
  <cp:lastPrinted>2019-03-14T07:28:14Z</cp:lastPrinted>
  <dcterms:created xsi:type="dcterms:W3CDTF">2009-09-10T10:08:36Z</dcterms:created>
  <dcterms:modified xsi:type="dcterms:W3CDTF">2019-05-17T06:27:49Z</dcterms:modified>
</cp:coreProperties>
</file>